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8"/>
  <workbookPr codeName="ThisWorkbook" defaultThemeVersion="124226"/>
  <mc:AlternateContent xmlns:mc="http://schemas.openxmlformats.org/markup-compatibility/2006">
    <mc:Choice Requires="x15">
      <x15ac:absPath xmlns:x15ac="http://schemas.microsoft.com/office/spreadsheetml/2010/11/ac" url="/Users/hdreves/Desktop/2018_11 FinanceRE Site Redesign/CREST Spreadsheets/"/>
    </mc:Choice>
  </mc:AlternateContent>
  <xr:revisionPtr revIDLastSave="0" documentId="13_ncr:1_{076DA6AC-34EF-D042-B4CD-C5D6E3395F28}" xr6:coauthVersionLast="40" xr6:coauthVersionMax="40" xr10:uidLastSave="{00000000-0000-0000-0000-000000000000}"/>
  <bookViews>
    <workbookView xWindow="1600" yWindow="460" windowWidth="19600" windowHeight="9640" tabRatio="725" xr2:uid="{00000000-000D-0000-FFFF-FFFF00000000}"/>
  </bookViews>
  <sheets>
    <sheet name="Introduction" sheetId="6" r:id="rId1"/>
    <sheet name="Inputs" sheetId="7" r:id="rId2"/>
    <sheet name="Summary Results" sheetId="9" r:id="rId3"/>
    <sheet name="Annual Cash Flows &amp; Returns" sheetId="10" r:id="rId4"/>
    <sheet name="Cash Flow" sheetId="11" r:id="rId5"/>
    <sheet name="Complex Inputs" sheetId="12" r:id="rId6"/>
  </sheets>
  <definedNames>
    <definedName name="_ftn1" localSheetId="1">Inputs!#REF!</definedName>
    <definedName name="_ftnref1" localSheetId="1">Inputs!$E$97</definedName>
    <definedName name="_xlnm.Print_Area" localSheetId="0">Introduction!$B$2:$D$43</definedName>
    <definedName name="solver_adj" localSheetId="1" hidden="1">Inputs!$G$57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Inputs!$G$62</definedName>
    <definedName name="solver_lhs2" localSheetId="1" hidden="1">Inputs!$G$65</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Inputs!$U$65</definedName>
    <definedName name="solver_pre" localSheetId="1" hidden="1">0.000001</definedName>
    <definedName name="solver_rel1" localSheetId="1" hidden="1">3</definedName>
    <definedName name="solver_rel2" localSheetId="1" hidden="1">3</definedName>
    <definedName name="solver_rhs1" localSheetId="1" hidden="1">Inputs!$G$61</definedName>
    <definedName name="solver_rhs2" localSheetId="1" hidden="1">Inputs!$G$64</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7" l="1"/>
  <c r="D35" i="9"/>
  <c r="D36" i="9"/>
  <c r="D33" i="9"/>
  <c r="C34" i="9"/>
  <c r="C35" i="9"/>
  <c r="C36" i="9"/>
  <c r="C33" i="9"/>
  <c r="B34" i="9"/>
  <c r="B35" i="9"/>
  <c r="B36" i="9"/>
  <c r="B33" i="9"/>
  <c r="AA41" i="11" l="1"/>
  <c r="AB41" i="11"/>
  <c r="AC41" i="11"/>
  <c r="AD41" i="11"/>
  <c r="AE41" i="11"/>
  <c r="AF41" i="11"/>
  <c r="AG41" i="11"/>
  <c r="AH41" i="11"/>
  <c r="AI41" i="11"/>
  <c r="AJ41" i="11"/>
  <c r="AA10" i="11"/>
  <c r="AB10" i="11"/>
  <c r="AC10" i="11"/>
  <c r="AD10" i="11"/>
  <c r="AE10" i="11"/>
  <c r="AF10" i="11"/>
  <c r="AG10" i="11"/>
  <c r="AH10" i="11"/>
  <c r="AI10" i="11"/>
  <c r="AJ10" i="11"/>
  <c r="AA8" i="11"/>
  <c r="AA9" i="11" s="1"/>
  <c r="AB8" i="11"/>
  <c r="AB9" i="11" s="1"/>
  <c r="AC8" i="11"/>
  <c r="AC9" i="11" s="1"/>
  <c r="AD8" i="11"/>
  <c r="AD9" i="11" s="1"/>
  <c r="AE8" i="11"/>
  <c r="AE9" i="11" s="1"/>
  <c r="AF8" i="11"/>
  <c r="AF9" i="11" s="1"/>
  <c r="AG8" i="11"/>
  <c r="AG9" i="11" s="1"/>
  <c r="AH8" i="11"/>
  <c r="AH9" i="11" s="1"/>
  <c r="AI8" i="11"/>
  <c r="AI9" i="11" s="1"/>
  <c r="AJ8" i="11"/>
  <c r="AJ9" i="11" s="1"/>
  <c r="AA7" i="11"/>
  <c r="AB7" i="11"/>
  <c r="AC7" i="11"/>
  <c r="AD7" i="11"/>
  <c r="AE7" i="11"/>
  <c r="AF7" i="11"/>
  <c r="AG7" i="11"/>
  <c r="AH7" i="11"/>
  <c r="AI7" i="11"/>
  <c r="AJ7" i="11"/>
  <c r="G6" i="11"/>
  <c r="G9" i="7"/>
  <c r="Q55" i="7"/>
  <c r="Q57" i="7" s="1"/>
  <c r="G7" i="11" l="1"/>
  <c r="G8" i="11" s="1"/>
  <c r="Q59" i="7"/>
  <c r="Q61" i="7" s="1"/>
  <c r="O5" i="11" l="1"/>
  <c r="AG5" i="11"/>
  <c r="X5" i="11"/>
  <c r="P5" i="11"/>
  <c r="AF5" i="11"/>
  <c r="K5" i="11"/>
  <c r="AA5" i="11"/>
  <c r="L5" i="11"/>
  <c r="T5" i="11"/>
  <c r="AB5" i="11"/>
  <c r="AJ5" i="11"/>
  <c r="G9" i="11"/>
  <c r="G10" i="11" s="1"/>
  <c r="G16" i="7" s="1"/>
  <c r="G13" i="7"/>
  <c r="M5" i="11"/>
  <c r="W5" i="11"/>
  <c r="AC5" i="11"/>
  <c r="J5" i="11"/>
  <c r="N5" i="11"/>
  <c r="R5" i="11"/>
  <c r="V5" i="11"/>
  <c r="Z5" i="11"/>
  <c r="AD5" i="11"/>
  <c r="AH5" i="11"/>
  <c r="H5" i="11"/>
  <c r="S5" i="11"/>
  <c r="AI5" i="11"/>
  <c r="Y5" i="11"/>
  <c r="Q5" i="11"/>
  <c r="U5" i="11"/>
  <c r="AE5" i="11"/>
  <c r="I5" i="11"/>
  <c r="H4" i="11"/>
  <c r="N89" i="7"/>
  <c r="N88" i="7"/>
  <c r="N87" i="7"/>
  <c r="N86" i="7"/>
  <c r="N85" i="7"/>
  <c r="N84" i="7"/>
  <c r="AA11" i="11"/>
  <c r="AB11" i="11"/>
  <c r="AC11" i="11"/>
  <c r="AD11" i="11"/>
  <c r="AE11" i="11"/>
  <c r="AF11" i="11"/>
  <c r="AG11" i="11"/>
  <c r="AH11" i="11"/>
  <c r="AI11" i="11"/>
  <c r="AJ11" i="11"/>
  <c r="H12" i="11"/>
  <c r="I12" i="11" s="1"/>
  <c r="J12" i="11" s="1"/>
  <c r="K12" i="11" s="1"/>
  <c r="L12" i="11" s="1"/>
  <c r="M12" i="11" s="1"/>
  <c r="N12" i="11" s="1"/>
  <c r="O12" i="11" s="1"/>
  <c r="P12" i="11" s="1"/>
  <c r="Q12" i="11" s="1"/>
  <c r="R12" i="11" s="1"/>
  <c r="S12" i="11" s="1"/>
  <c r="T12" i="11" s="1"/>
  <c r="U12" i="11" s="1"/>
  <c r="V12" i="11" s="1"/>
  <c r="W12" i="11" s="1"/>
  <c r="X12" i="11" s="1"/>
  <c r="Y12" i="11" s="1"/>
  <c r="Z12" i="11" s="1"/>
  <c r="AA12" i="11" s="1"/>
  <c r="AB12" i="11" s="1"/>
  <c r="AC12" i="11" s="1"/>
  <c r="AD12" i="11" s="1"/>
  <c r="AE12" i="11" s="1"/>
  <c r="AF12" i="11" s="1"/>
  <c r="AG12" i="11" s="1"/>
  <c r="AH12" i="11" s="1"/>
  <c r="AI12" i="11" s="1"/>
  <c r="AJ12" i="11" s="1"/>
  <c r="H6" i="11" l="1"/>
  <c r="H7" i="11" s="1"/>
  <c r="D24" i="9"/>
  <c r="G41" i="11"/>
  <c r="I4" i="11"/>
  <c r="I6" i="11" s="1"/>
  <c r="I7" i="11" s="1"/>
  <c r="AI30" i="11"/>
  <c r="AG30" i="11"/>
  <c r="AE30" i="11"/>
  <c r="AC30" i="11"/>
  <c r="AA30" i="11"/>
  <c r="AJ30" i="11"/>
  <c r="AH30" i="11"/>
  <c r="AF30" i="11"/>
  <c r="AD30" i="11"/>
  <c r="AB30" i="11"/>
  <c r="H8" i="11" l="1"/>
  <c r="H9" i="11" s="1"/>
  <c r="H10" i="11" s="1"/>
  <c r="J4" i="11"/>
  <c r="J6" i="11" s="1"/>
  <c r="AA38" i="11"/>
  <c r="AB38" i="11"/>
  <c r="AC38" i="11"/>
  <c r="AD38" i="11"/>
  <c r="AE38" i="11"/>
  <c r="AF38" i="11"/>
  <c r="AG38" i="11"/>
  <c r="AH38" i="11"/>
  <c r="AI38" i="11"/>
  <c r="AJ38" i="11"/>
  <c r="G38" i="11"/>
  <c r="I8" i="11" l="1"/>
  <c r="I9" i="11" s="1"/>
  <c r="I10" i="11" s="1"/>
  <c r="K4" i="11"/>
  <c r="K6" i="11" s="1"/>
  <c r="J7" i="11"/>
  <c r="Q8" i="7"/>
  <c r="D34" i="9" s="1"/>
  <c r="H35" i="11"/>
  <c r="H41" i="11" s="1"/>
  <c r="J8" i="11" l="1"/>
  <c r="J9" i="11" s="1"/>
  <c r="J10" i="11" s="1"/>
  <c r="L4" i="11"/>
  <c r="L6" i="11" s="1"/>
  <c r="K7" i="11"/>
  <c r="I35" i="11"/>
  <c r="I41" i="11" s="1"/>
  <c r="B23" i="9"/>
  <c r="C23" i="9"/>
  <c r="D23" i="9"/>
  <c r="C22" i="9"/>
  <c r="D22" i="9"/>
  <c r="B22" i="9"/>
  <c r="C21" i="9"/>
  <c r="D21" i="9"/>
  <c r="B21" i="9"/>
  <c r="C20" i="9"/>
  <c r="D20" i="9"/>
  <c r="B20" i="9"/>
  <c r="C19" i="9"/>
  <c r="B19" i="9"/>
  <c r="K8" i="11" l="1"/>
  <c r="K9" i="11" s="1"/>
  <c r="K10" i="11" s="1"/>
  <c r="M4" i="11"/>
  <c r="M6" i="11" s="1"/>
  <c r="L7" i="11"/>
  <c r="J35" i="11"/>
  <c r="J41" i="11" s="1"/>
  <c r="T24" i="7"/>
  <c r="R24" i="7"/>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G25" i="11"/>
  <c r="Q180" i="11"/>
  <c r="R180" i="11"/>
  <c r="S180" i="11"/>
  <c r="T180" i="11"/>
  <c r="U180" i="11"/>
  <c r="V180" i="11"/>
  <c r="W180" i="11"/>
  <c r="X180" i="11"/>
  <c r="Y180" i="11"/>
  <c r="Z180" i="11"/>
  <c r="AA180" i="11"/>
  <c r="AB180" i="11"/>
  <c r="AC180" i="11"/>
  <c r="AD180" i="11"/>
  <c r="AE180" i="11"/>
  <c r="AF180" i="11"/>
  <c r="AG180" i="11"/>
  <c r="AH180" i="11"/>
  <c r="AI180" i="11"/>
  <c r="AJ180" i="11"/>
  <c r="H179" i="11"/>
  <c r="I179" i="11"/>
  <c r="J179" i="11"/>
  <c r="K179" i="11"/>
  <c r="L179" i="11"/>
  <c r="M179" i="11"/>
  <c r="N179" i="11"/>
  <c r="O179" i="11"/>
  <c r="P179" i="11"/>
  <c r="Q179" i="11"/>
  <c r="R179" i="11"/>
  <c r="S179" i="11"/>
  <c r="T179" i="11"/>
  <c r="U179" i="11"/>
  <c r="V179" i="11"/>
  <c r="W179" i="11"/>
  <c r="X179" i="11"/>
  <c r="Y179" i="11"/>
  <c r="Z179" i="11"/>
  <c r="AA179" i="11"/>
  <c r="AB179" i="11"/>
  <c r="AC179" i="11"/>
  <c r="AD179" i="11"/>
  <c r="AE179" i="11"/>
  <c r="AF179" i="11"/>
  <c r="AG179" i="11"/>
  <c r="AH179" i="11"/>
  <c r="AI179" i="11"/>
  <c r="AJ179" i="11"/>
  <c r="L8" i="11" l="1"/>
  <c r="L9" i="11" s="1"/>
  <c r="L10" i="11" s="1"/>
  <c r="N4" i="11"/>
  <c r="N6" i="11" s="1"/>
  <c r="M7" i="11"/>
  <c r="K35" i="11"/>
  <c r="K41" i="11" s="1"/>
  <c r="D19" i="9"/>
  <c r="G75" i="7"/>
  <c r="M8" i="11" l="1"/>
  <c r="M9" i="11" s="1"/>
  <c r="M10" i="11" s="1"/>
  <c r="O4" i="11"/>
  <c r="O6" i="11" s="1"/>
  <c r="N7" i="11"/>
  <c r="L35" i="11"/>
  <c r="L41" i="11" s="1"/>
  <c r="G11" i="11"/>
  <c r="G30" i="11" s="1"/>
  <c r="H194" i="11"/>
  <c r="I194" i="11"/>
  <c r="J194" i="11"/>
  <c r="K194" i="11"/>
  <c r="L194" i="11"/>
  <c r="M194" i="11"/>
  <c r="N194" i="11"/>
  <c r="O194" i="11"/>
  <c r="P194" i="11"/>
  <c r="Q194" i="11"/>
  <c r="R194" i="11"/>
  <c r="S194" i="11"/>
  <c r="T194" i="11"/>
  <c r="U194" i="11"/>
  <c r="V194" i="11"/>
  <c r="W194" i="11"/>
  <c r="X194" i="11"/>
  <c r="Y194" i="11"/>
  <c r="Z194" i="11"/>
  <c r="AA194" i="11"/>
  <c r="AB194" i="11"/>
  <c r="AC194" i="11"/>
  <c r="AD194" i="11"/>
  <c r="AE194" i="11"/>
  <c r="AF194" i="11"/>
  <c r="AG194" i="11"/>
  <c r="AH194" i="11"/>
  <c r="AI194" i="11"/>
  <c r="AJ194" i="11"/>
  <c r="G194" i="11"/>
  <c r="N8" i="11" l="1"/>
  <c r="N9" i="11" s="1"/>
  <c r="N10" i="11" s="1"/>
  <c r="P4" i="11"/>
  <c r="P6" i="11" s="1"/>
  <c r="O7" i="11"/>
  <c r="M35" i="11"/>
  <c r="M41" i="11" s="1"/>
  <c r="G27" i="11"/>
  <c r="R45" i="7"/>
  <c r="R43" i="7"/>
  <c r="D55" i="9"/>
  <c r="O8" i="11" l="1"/>
  <c r="O9" i="11" s="1"/>
  <c r="O10" i="11" s="1"/>
  <c r="Q4" i="11"/>
  <c r="Q6" i="11" s="1"/>
  <c r="P7" i="11"/>
  <c r="N35" i="11"/>
  <c r="N41" i="11" s="1"/>
  <c r="D27" i="9"/>
  <c r="D25" i="9"/>
  <c r="D52" i="9"/>
  <c r="D53" i="9" s="1"/>
  <c r="P8" i="11" l="1"/>
  <c r="P9" i="11" s="1"/>
  <c r="P10" i="11" s="1"/>
  <c r="R4" i="11"/>
  <c r="R6" i="11" s="1"/>
  <c r="Q7" i="11"/>
  <c r="O35" i="11"/>
  <c r="O41" i="11" s="1"/>
  <c r="N26" i="7"/>
  <c r="V51" i="11"/>
  <c r="W51" i="11"/>
  <c r="X51" i="11"/>
  <c r="Y51" i="11"/>
  <c r="Z51" i="11"/>
  <c r="AA51" i="11"/>
  <c r="AB51" i="11"/>
  <c r="AC51" i="11"/>
  <c r="AD51" i="11"/>
  <c r="AE51" i="11"/>
  <c r="AF51" i="11"/>
  <c r="AG51" i="11"/>
  <c r="AH51" i="11"/>
  <c r="AI51" i="11"/>
  <c r="AJ51" i="11"/>
  <c r="H214" i="11"/>
  <c r="I214" i="11"/>
  <c r="J214" i="11"/>
  <c r="K214" i="11"/>
  <c r="L214" i="11"/>
  <c r="M214" i="11"/>
  <c r="N214" i="11"/>
  <c r="O214" i="11"/>
  <c r="AA214" i="11"/>
  <c r="AB214" i="11"/>
  <c r="AC214" i="11"/>
  <c r="AD214" i="11"/>
  <c r="AE214" i="11"/>
  <c r="AF214" i="11"/>
  <c r="AG214" i="11"/>
  <c r="AH214" i="11"/>
  <c r="AI214" i="11"/>
  <c r="AJ214" i="11"/>
  <c r="G214" i="11"/>
  <c r="H213" i="11"/>
  <c r="I213" i="11"/>
  <c r="J213" i="11"/>
  <c r="V213" i="11"/>
  <c r="W213" i="11"/>
  <c r="X213" i="11"/>
  <c r="Y213" i="11"/>
  <c r="Z213" i="11"/>
  <c r="AA213" i="11"/>
  <c r="AB213" i="11"/>
  <c r="AC213" i="11"/>
  <c r="AD213" i="11"/>
  <c r="AE213" i="11"/>
  <c r="AF213" i="11"/>
  <c r="AG213" i="11"/>
  <c r="AH213" i="11"/>
  <c r="AI213" i="11"/>
  <c r="AJ213" i="11"/>
  <c r="G213" i="11"/>
  <c r="N211" i="11"/>
  <c r="O211" i="11"/>
  <c r="P211" i="11"/>
  <c r="Q211" i="11"/>
  <c r="R211" i="11"/>
  <c r="S211" i="11"/>
  <c r="T211" i="11"/>
  <c r="U211" i="11"/>
  <c r="V211" i="11"/>
  <c r="W211" i="11"/>
  <c r="X211" i="11"/>
  <c r="Y211" i="11"/>
  <c r="Z211" i="11"/>
  <c r="AA211" i="11"/>
  <c r="AB211" i="11"/>
  <c r="AC211" i="11"/>
  <c r="AD211" i="11"/>
  <c r="AE211" i="11"/>
  <c r="AF211" i="11"/>
  <c r="AG211" i="11"/>
  <c r="AH211" i="11"/>
  <c r="AI211" i="11"/>
  <c r="AJ211" i="11"/>
  <c r="U212" i="11"/>
  <c r="V212" i="11"/>
  <c r="W212" i="11"/>
  <c r="X212" i="11"/>
  <c r="Y212" i="11"/>
  <c r="Z212" i="11"/>
  <c r="AA212" i="11"/>
  <c r="AB212" i="11"/>
  <c r="AC212" i="11"/>
  <c r="AD212" i="11"/>
  <c r="AE212" i="11"/>
  <c r="AF212" i="11"/>
  <c r="AG212" i="11"/>
  <c r="AH212" i="11"/>
  <c r="AI212" i="11"/>
  <c r="AJ212" i="11"/>
  <c r="H148" i="11"/>
  <c r="I148" i="11"/>
  <c r="J148" i="11"/>
  <c r="K148" i="11"/>
  <c r="L148" i="11"/>
  <c r="M148" i="11"/>
  <c r="N148" i="11"/>
  <c r="O148" i="11"/>
  <c r="P148" i="11"/>
  <c r="Q148" i="11"/>
  <c r="R148" i="11"/>
  <c r="S148" i="11"/>
  <c r="T148" i="11"/>
  <c r="U148" i="11"/>
  <c r="V148" i="11"/>
  <c r="W148" i="11"/>
  <c r="X148" i="11"/>
  <c r="Y148" i="11"/>
  <c r="AA148" i="11"/>
  <c r="AB148" i="11"/>
  <c r="AC148" i="11"/>
  <c r="AD148" i="11"/>
  <c r="AE148" i="11"/>
  <c r="AF148" i="11"/>
  <c r="AG148" i="11"/>
  <c r="AH148" i="11"/>
  <c r="AI148" i="11"/>
  <c r="AJ148" i="11"/>
  <c r="H145" i="11"/>
  <c r="I145" i="11"/>
  <c r="J145" i="11"/>
  <c r="K145" i="11"/>
  <c r="L145" i="11"/>
  <c r="M145" i="11"/>
  <c r="N145" i="11"/>
  <c r="O145" i="11"/>
  <c r="P145" i="11"/>
  <c r="Q145" i="11"/>
  <c r="R145" i="11"/>
  <c r="S145" i="11"/>
  <c r="T145" i="11"/>
  <c r="V145" i="11"/>
  <c r="W145" i="11"/>
  <c r="X145" i="11"/>
  <c r="Y145" i="11"/>
  <c r="Z145" i="11"/>
  <c r="AA145" i="11"/>
  <c r="AB145" i="11"/>
  <c r="AC145" i="11"/>
  <c r="AD145" i="11"/>
  <c r="AE145" i="11"/>
  <c r="AF145" i="11"/>
  <c r="AG145" i="11"/>
  <c r="AH145" i="11"/>
  <c r="AI145" i="11"/>
  <c r="AJ145" i="11"/>
  <c r="G148" i="11"/>
  <c r="G149" i="11" s="1"/>
  <c r="G150" i="11" s="1"/>
  <c r="G145" i="11"/>
  <c r="G146" i="11" s="1"/>
  <c r="G147" i="11" s="1"/>
  <c r="E148" i="11"/>
  <c r="Z148" i="11" s="1"/>
  <c r="E145" i="11"/>
  <c r="U145" i="11" s="1"/>
  <c r="E142" i="11"/>
  <c r="J212" i="11" s="1"/>
  <c r="P62" i="7"/>
  <c r="P60" i="7"/>
  <c r="P58" i="7"/>
  <c r="P56" i="7"/>
  <c r="N61" i="7"/>
  <c r="N59" i="7"/>
  <c r="N57" i="7"/>
  <c r="Q8" i="11" l="1"/>
  <c r="Q9" i="11" s="1"/>
  <c r="Q10" i="11" s="1"/>
  <c r="S4" i="11"/>
  <c r="S6" i="11" s="1"/>
  <c r="R7" i="11"/>
  <c r="I212" i="11"/>
  <c r="G212" i="11"/>
  <c r="H212" i="11"/>
  <c r="P35" i="11"/>
  <c r="P41" i="11" s="1"/>
  <c r="S212" i="11"/>
  <c r="Q212" i="11"/>
  <c r="O212" i="11"/>
  <c r="M212" i="11"/>
  <c r="K212" i="11"/>
  <c r="T212" i="11"/>
  <c r="R212" i="11"/>
  <c r="P212" i="11"/>
  <c r="N212" i="11"/>
  <c r="L212" i="11"/>
  <c r="Z214" i="11"/>
  <c r="X214" i="11"/>
  <c r="V214" i="11"/>
  <c r="T214" i="11"/>
  <c r="R214" i="11"/>
  <c r="P214" i="11"/>
  <c r="Y214" i="11"/>
  <c r="W214" i="11"/>
  <c r="U214" i="11"/>
  <c r="S214" i="11"/>
  <c r="Q214" i="11"/>
  <c r="T213" i="11"/>
  <c r="R213" i="11"/>
  <c r="P213" i="11"/>
  <c r="N213" i="11"/>
  <c r="L213" i="11"/>
  <c r="U213" i="11"/>
  <c r="S213" i="11"/>
  <c r="Q213" i="11"/>
  <c r="O213" i="11"/>
  <c r="M213" i="11"/>
  <c r="K213" i="11"/>
  <c r="H146" i="11"/>
  <c r="H147" i="11" s="1"/>
  <c r="H149" i="11"/>
  <c r="H150" i="11" s="1"/>
  <c r="L193" i="11"/>
  <c r="M193" i="11"/>
  <c r="N193" i="11"/>
  <c r="O193" i="11"/>
  <c r="P193" i="11"/>
  <c r="Q193" i="11"/>
  <c r="R193" i="11"/>
  <c r="S193" i="11"/>
  <c r="T193" i="11"/>
  <c r="U193" i="11"/>
  <c r="V193" i="11"/>
  <c r="W193" i="11"/>
  <c r="X193" i="11"/>
  <c r="Y193" i="11"/>
  <c r="Z193" i="11"/>
  <c r="AA193" i="11"/>
  <c r="AB193" i="11"/>
  <c r="AC193" i="11"/>
  <c r="AD193" i="11"/>
  <c r="AE193" i="11"/>
  <c r="AF193" i="11"/>
  <c r="AG193" i="11"/>
  <c r="AH193" i="11"/>
  <c r="AI193" i="11"/>
  <c r="AJ193" i="11"/>
  <c r="R8" i="11" l="1"/>
  <c r="R9" i="11" s="1"/>
  <c r="R10" i="11" s="1"/>
  <c r="T4" i="11"/>
  <c r="T6" i="11" s="1"/>
  <c r="S7" i="11"/>
  <c r="I146" i="11"/>
  <c r="J146" i="11" s="1"/>
  <c r="Q35" i="11"/>
  <c r="Q41" i="11" s="1"/>
  <c r="I149" i="11"/>
  <c r="J149" i="11" s="1"/>
  <c r="AA43" i="11"/>
  <c r="AB43" i="11"/>
  <c r="AC43" i="11"/>
  <c r="AD43" i="11"/>
  <c r="AE43" i="11"/>
  <c r="AF43" i="11"/>
  <c r="AG43" i="11"/>
  <c r="AH43" i="11"/>
  <c r="AI43" i="11"/>
  <c r="AJ43" i="11"/>
  <c r="G43" i="11"/>
  <c r="R39" i="7"/>
  <c r="E139" i="11"/>
  <c r="Q27" i="11"/>
  <c r="R27" i="11"/>
  <c r="S27" i="11"/>
  <c r="T27" i="11"/>
  <c r="U27" i="11"/>
  <c r="V27" i="11"/>
  <c r="W27" i="11"/>
  <c r="X27" i="11"/>
  <c r="Y27" i="11"/>
  <c r="Z27" i="11"/>
  <c r="AA27" i="11"/>
  <c r="AB27" i="11"/>
  <c r="AC27" i="11"/>
  <c r="AD27" i="11"/>
  <c r="AE27" i="11"/>
  <c r="AF27" i="11"/>
  <c r="AG27" i="11"/>
  <c r="AH27" i="11"/>
  <c r="AI27" i="11"/>
  <c r="AJ27" i="11"/>
  <c r="S8" i="11" l="1"/>
  <c r="S9" i="11" s="1"/>
  <c r="S10" i="11" s="1"/>
  <c r="U4" i="11"/>
  <c r="U6" i="11" s="1"/>
  <c r="T7" i="11"/>
  <c r="I147" i="11"/>
  <c r="R35" i="11"/>
  <c r="R41" i="11" s="1"/>
  <c r="I150" i="11"/>
  <c r="I211" i="11"/>
  <c r="K211" i="11"/>
  <c r="M211" i="11"/>
  <c r="G211" i="11"/>
  <c r="H211" i="11"/>
  <c r="J211" i="11"/>
  <c r="L211" i="11"/>
  <c r="K149" i="11"/>
  <c r="J150" i="11"/>
  <c r="K146" i="11"/>
  <c r="J147" i="11"/>
  <c r="AF37" i="11"/>
  <c r="AG37" i="11"/>
  <c r="AH37" i="11"/>
  <c r="AI37" i="11"/>
  <c r="AJ37" i="11"/>
  <c r="G37" i="11"/>
  <c r="C18" i="9"/>
  <c r="T8" i="11" l="1"/>
  <c r="T9" i="11" s="1"/>
  <c r="T10" i="11" s="1"/>
  <c r="V4" i="11"/>
  <c r="V6" i="11" s="1"/>
  <c r="U7" i="11"/>
  <c r="S35" i="11"/>
  <c r="S41" i="11" s="1"/>
  <c r="L146" i="11"/>
  <c r="K147" i="11"/>
  <c r="L149" i="11"/>
  <c r="K150" i="11"/>
  <c r="D18" i="9"/>
  <c r="U8" i="11" l="1"/>
  <c r="U9" i="11" s="1"/>
  <c r="U10" i="11" s="1"/>
  <c r="W4" i="11"/>
  <c r="W6" i="11" s="1"/>
  <c r="V7" i="11"/>
  <c r="T35" i="11"/>
  <c r="T41" i="11" s="1"/>
  <c r="M149" i="11"/>
  <c r="L150" i="11"/>
  <c r="M146" i="11"/>
  <c r="L147" i="11"/>
  <c r="D19" i="7"/>
  <c r="V8" i="11" l="1"/>
  <c r="V9" i="11" s="1"/>
  <c r="V10" i="11" s="1"/>
  <c r="X4" i="11"/>
  <c r="X6" i="11" s="1"/>
  <c r="W7" i="11"/>
  <c r="U35" i="11"/>
  <c r="U41" i="11" s="1"/>
  <c r="N146" i="11"/>
  <c r="M147" i="11"/>
  <c r="N149" i="11"/>
  <c r="M150" i="11"/>
  <c r="T18" i="7"/>
  <c r="W8" i="11" l="1"/>
  <c r="W9" i="11" s="1"/>
  <c r="W10" i="11" s="1"/>
  <c r="Y4" i="11"/>
  <c r="Y6" i="11" s="1"/>
  <c r="X7" i="11"/>
  <c r="V35" i="11"/>
  <c r="V41" i="11" s="1"/>
  <c r="O149" i="11"/>
  <c r="N150" i="11"/>
  <c r="O146" i="11"/>
  <c r="N147" i="11"/>
  <c r="L86" i="7"/>
  <c r="L87" i="7"/>
  <c r="L88" i="7"/>
  <c r="L89" i="7"/>
  <c r="L84" i="7"/>
  <c r="O85" i="7"/>
  <c r="O86" i="7"/>
  <c r="O87" i="7"/>
  <c r="O88" i="7"/>
  <c r="O89" i="7"/>
  <c r="O84" i="7"/>
  <c r="N55" i="7"/>
  <c r="N48" i="7"/>
  <c r="N47" i="7"/>
  <c r="N41" i="7"/>
  <c r="N40" i="7"/>
  <c r="N39" i="7"/>
  <c r="N31" i="7"/>
  <c r="N32" i="7"/>
  <c r="N27" i="7"/>
  <c r="N20" i="7"/>
  <c r="N19" i="7"/>
  <c r="D82" i="7"/>
  <c r="D80" i="7"/>
  <c r="D68" i="7"/>
  <c r="D60" i="7"/>
  <c r="D59" i="7"/>
  <c r="D58" i="7"/>
  <c r="D57" i="7"/>
  <c r="X8" i="11" l="1"/>
  <c r="X9" i="11" s="1"/>
  <c r="X10" i="11" s="1"/>
  <c r="Z4" i="11"/>
  <c r="Z6" i="11" s="1"/>
  <c r="Y7" i="11"/>
  <c r="W35" i="11"/>
  <c r="W41" i="11" s="1"/>
  <c r="P146" i="11"/>
  <c r="O147" i="11"/>
  <c r="P149" i="11"/>
  <c r="O150" i="11"/>
  <c r="N13" i="7"/>
  <c r="D17" i="7"/>
  <c r="Y8" i="11" l="1"/>
  <c r="Y9" i="11" s="1"/>
  <c r="Y10" i="11" s="1"/>
  <c r="AA4" i="11"/>
  <c r="AA6" i="11" s="1"/>
  <c r="AB4" i="11" s="1"/>
  <c r="AB6" i="11" s="1"/>
  <c r="AC4" i="11" s="1"/>
  <c r="AC6" i="11" s="1"/>
  <c r="AD4" i="11" s="1"/>
  <c r="AD6" i="11" s="1"/>
  <c r="AE4" i="11" s="1"/>
  <c r="AE6" i="11" s="1"/>
  <c r="AF4" i="11" s="1"/>
  <c r="AF6" i="11" s="1"/>
  <c r="AG4" i="11" s="1"/>
  <c r="AG6" i="11" s="1"/>
  <c r="AH4" i="11" s="1"/>
  <c r="AH6" i="11" s="1"/>
  <c r="AI4" i="11" s="1"/>
  <c r="AI6" i="11" s="1"/>
  <c r="AJ4" i="11" s="1"/>
  <c r="AJ6" i="11" s="1"/>
  <c r="Z7" i="11"/>
  <c r="X35" i="11"/>
  <c r="X41" i="11" s="1"/>
  <c r="Q149" i="11"/>
  <c r="P150" i="11"/>
  <c r="Q146" i="11"/>
  <c r="P147" i="11"/>
  <c r="G67" i="7"/>
  <c r="Z8" i="11" l="1"/>
  <c r="Z9" i="11" s="1"/>
  <c r="Z10" i="11" s="1"/>
  <c r="Y35" i="11"/>
  <c r="Y41" i="11" s="1"/>
  <c r="R146" i="11"/>
  <c r="Q147" i="11"/>
  <c r="R149" i="11"/>
  <c r="Q150" i="11"/>
  <c r="T110" i="7"/>
  <c r="L90" i="7"/>
  <c r="L85" i="7"/>
  <c r="Z35" i="11" l="1"/>
  <c r="Z41" i="11" s="1"/>
  <c r="S149" i="11"/>
  <c r="R150" i="11"/>
  <c r="S146" i="11"/>
  <c r="R147" i="11"/>
  <c r="D49" i="9"/>
  <c r="D50" i="9" s="1"/>
  <c r="T20" i="7"/>
  <c r="T19" i="7"/>
  <c r="T21" i="7"/>
  <c r="F71" i="11"/>
  <c r="AA35" i="11" l="1"/>
  <c r="AB35" i="11" s="1"/>
  <c r="AC35" i="11" s="1"/>
  <c r="AD35" i="11" s="1"/>
  <c r="AE35" i="11" s="1"/>
  <c r="AF35" i="11" s="1"/>
  <c r="AG35" i="11" s="1"/>
  <c r="AH35" i="11" s="1"/>
  <c r="AI35" i="11" s="1"/>
  <c r="AJ35" i="11" s="1"/>
  <c r="T146" i="11"/>
  <c r="S147" i="11"/>
  <c r="T149" i="11"/>
  <c r="S150" i="11"/>
  <c r="Q226" i="11"/>
  <c r="Q227" i="11"/>
  <c r="Q228" i="11"/>
  <c r="Q229" i="11"/>
  <c r="Q230" i="11"/>
  <c r="Q231" i="11"/>
  <c r="Q232" i="11"/>
  <c r="Q233" i="11"/>
  <c r="Q234" i="11"/>
  <c r="Q225" i="11"/>
  <c r="P226" i="11"/>
  <c r="P227" i="11"/>
  <c r="P228" i="11"/>
  <c r="P229" i="11"/>
  <c r="P230" i="11"/>
  <c r="P231" i="11"/>
  <c r="P232" i="11"/>
  <c r="P233" i="11"/>
  <c r="P234" i="11"/>
  <c r="P225" i="11"/>
  <c r="M225" i="11"/>
  <c r="M226" i="11"/>
  <c r="M227" i="11"/>
  <c r="M228" i="11"/>
  <c r="M229" i="11"/>
  <c r="M230" i="11"/>
  <c r="M231" i="11"/>
  <c r="M232" i="11"/>
  <c r="M233" i="11"/>
  <c r="M234" i="11"/>
  <c r="L225" i="11"/>
  <c r="L226" i="11"/>
  <c r="L227" i="11"/>
  <c r="L228" i="11"/>
  <c r="L229" i="11"/>
  <c r="L230" i="11"/>
  <c r="L231" i="11"/>
  <c r="L232" i="11"/>
  <c r="L233" i="11"/>
  <c r="L234" i="11"/>
  <c r="I225" i="11"/>
  <c r="I226" i="11"/>
  <c r="I227" i="11"/>
  <c r="I228" i="11"/>
  <c r="I229" i="11"/>
  <c r="I230" i="11"/>
  <c r="I231" i="11"/>
  <c r="I232" i="11"/>
  <c r="I233" i="11"/>
  <c r="I234" i="11"/>
  <c r="H225" i="11"/>
  <c r="H226" i="11"/>
  <c r="H227" i="11"/>
  <c r="H228" i="11"/>
  <c r="H229" i="11"/>
  <c r="H230" i="11"/>
  <c r="H231" i="11"/>
  <c r="H232" i="11"/>
  <c r="H233" i="11"/>
  <c r="H234" i="11"/>
  <c r="F20" i="11"/>
  <c r="F19" i="11" s="1"/>
  <c r="C129" i="12"/>
  <c r="G23" i="11"/>
  <c r="H23" i="11" s="1"/>
  <c r="I23" i="11" s="1"/>
  <c r="J23" i="11" s="1"/>
  <c r="K23" i="11" s="1"/>
  <c r="L23" i="11" s="1"/>
  <c r="M23" i="11" s="1"/>
  <c r="N23" i="11" s="1"/>
  <c r="O23" i="11" s="1"/>
  <c r="P23" i="11" s="1"/>
  <c r="Q23" i="11" s="1"/>
  <c r="R23" i="11" s="1"/>
  <c r="S23" i="11" s="1"/>
  <c r="T23" i="11" s="1"/>
  <c r="U23" i="11" s="1"/>
  <c r="V23" i="11" s="1"/>
  <c r="W23" i="11" s="1"/>
  <c r="X23" i="11" s="1"/>
  <c r="Y23" i="11" s="1"/>
  <c r="Z23" i="11" s="1"/>
  <c r="AA23" i="11" s="1"/>
  <c r="AB23" i="11" s="1"/>
  <c r="AC23" i="11" s="1"/>
  <c r="AD23" i="11" s="1"/>
  <c r="AE23" i="11" s="1"/>
  <c r="AF23" i="11" s="1"/>
  <c r="AG23" i="11" s="1"/>
  <c r="AH23" i="11" s="1"/>
  <c r="AI23" i="11" s="1"/>
  <c r="AJ23" i="11" s="1"/>
  <c r="G42" i="11"/>
  <c r="H42" i="11" s="1"/>
  <c r="I42" i="11" s="1"/>
  <c r="J42" i="11" s="1"/>
  <c r="K42" i="11" s="1"/>
  <c r="L42" i="11" s="1"/>
  <c r="M42" i="11" s="1"/>
  <c r="N42" i="11" s="1"/>
  <c r="O42" i="11" s="1"/>
  <c r="P42" i="11" s="1"/>
  <c r="Q42" i="11" s="1"/>
  <c r="R42" i="11" s="1"/>
  <c r="S42" i="11" s="1"/>
  <c r="T42" i="11" s="1"/>
  <c r="U42" i="11" s="1"/>
  <c r="V42" i="11" s="1"/>
  <c r="W42" i="11" s="1"/>
  <c r="X42" i="11" s="1"/>
  <c r="Y42" i="11" s="1"/>
  <c r="Z42" i="11" s="1"/>
  <c r="AA42" i="11" s="1"/>
  <c r="AB42" i="11" s="1"/>
  <c r="AC42" i="11" s="1"/>
  <c r="AD42" i="11" s="1"/>
  <c r="AE42" i="11" s="1"/>
  <c r="AF42" i="11" s="1"/>
  <c r="AG42" i="11" s="1"/>
  <c r="AH42" i="11" s="1"/>
  <c r="AI42" i="11" s="1"/>
  <c r="AJ42" i="11" s="1"/>
  <c r="U149" i="11" l="1"/>
  <c r="T150" i="11"/>
  <c r="U146" i="11"/>
  <c r="T147" i="11"/>
  <c r="J224" i="11"/>
  <c r="J225" i="11" s="1"/>
  <c r="J226" i="11" s="1"/>
  <c r="J227" i="11" s="1"/>
  <c r="J228" i="11" s="1"/>
  <c r="J229" i="11" s="1"/>
  <c r="J230" i="11" s="1"/>
  <c r="J231" i="11" s="1"/>
  <c r="J232" i="11" s="1"/>
  <c r="J233" i="11" s="1"/>
  <c r="B199" i="11"/>
  <c r="B185" i="11"/>
  <c r="F70" i="11"/>
  <c r="D8" i="9"/>
  <c r="V146" i="11" l="1"/>
  <c r="U147" i="11"/>
  <c r="V149" i="11"/>
  <c r="U150" i="11"/>
  <c r="AI182" i="11"/>
  <c r="AI75" i="11" s="1"/>
  <c r="AG182" i="11"/>
  <c r="AG75" i="11" s="1"/>
  <c r="AE182" i="11"/>
  <c r="AE75" i="11" s="1"/>
  <c r="AC182" i="11"/>
  <c r="AC75" i="11" s="1"/>
  <c r="AA182" i="11"/>
  <c r="AA75" i="11" s="1"/>
  <c r="Y182" i="11"/>
  <c r="Y75" i="11" s="1"/>
  <c r="W182" i="11"/>
  <c r="W75" i="11" s="1"/>
  <c r="U182" i="11"/>
  <c r="U75" i="11" s="1"/>
  <c r="S182" i="11"/>
  <c r="S75" i="11" s="1"/>
  <c r="AJ196" i="11"/>
  <c r="AH196" i="11"/>
  <c r="AF196" i="11"/>
  <c r="AD196" i="11"/>
  <c r="AB196" i="11"/>
  <c r="Z196" i="11"/>
  <c r="X196" i="11"/>
  <c r="V196" i="11"/>
  <c r="T196" i="11"/>
  <c r="R196" i="11"/>
  <c r="AI196" i="11"/>
  <c r="AG196" i="11"/>
  <c r="AE196" i="11"/>
  <c r="AC196" i="11"/>
  <c r="AA196" i="11"/>
  <c r="Y196" i="11"/>
  <c r="W196" i="11"/>
  <c r="U196" i="11"/>
  <c r="S196" i="11"/>
  <c r="Q196" i="11"/>
  <c r="Q182" i="11"/>
  <c r="Q75" i="11" s="1"/>
  <c r="AJ182" i="11"/>
  <c r="AJ75" i="11" s="1"/>
  <c r="AH182" i="11"/>
  <c r="AH75" i="11" s="1"/>
  <c r="AF182" i="11"/>
  <c r="AF75" i="11" s="1"/>
  <c r="AD182" i="11"/>
  <c r="AD75" i="11" s="1"/>
  <c r="AB182" i="11"/>
  <c r="AB75" i="11" s="1"/>
  <c r="Z182" i="11"/>
  <c r="Z75" i="11" s="1"/>
  <c r="X182" i="11"/>
  <c r="X75" i="11" s="1"/>
  <c r="V182" i="11"/>
  <c r="V75" i="11" s="1"/>
  <c r="T182" i="11"/>
  <c r="T75" i="11" s="1"/>
  <c r="R182" i="11"/>
  <c r="R75" i="11" s="1"/>
  <c r="H215" i="11"/>
  <c r="H58" i="11" s="1"/>
  <c r="I215" i="11"/>
  <c r="I58" i="11" s="1"/>
  <c r="J215" i="11"/>
  <c r="J58" i="11" s="1"/>
  <c r="K215" i="11"/>
  <c r="K58" i="11" s="1"/>
  <c r="L215" i="11"/>
  <c r="L58" i="11" s="1"/>
  <c r="M215" i="11"/>
  <c r="M58" i="11" s="1"/>
  <c r="N215" i="11"/>
  <c r="N58" i="11" s="1"/>
  <c r="O215" i="11"/>
  <c r="O58" i="11" s="1"/>
  <c r="P215" i="11"/>
  <c r="P58" i="11" s="1"/>
  <c r="Q215" i="11"/>
  <c r="Q58" i="11" s="1"/>
  <c r="R215" i="11"/>
  <c r="R58" i="11" s="1"/>
  <c r="S215" i="11"/>
  <c r="S58" i="11" s="1"/>
  <c r="T215" i="11"/>
  <c r="T58" i="11" s="1"/>
  <c r="U215" i="11"/>
  <c r="U58" i="11" s="1"/>
  <c r="V215" i="11"/>
  <c r="V58" i="11" s="1"/>
  <c r="W215" i="11"/>
  <c r="W58" i="11" s="1"/>
  <c r="X215" i="11"/>
  <c r="X58" i="11" s="1"/>
  <c r="Y215" i="11"/>
  <c r="Y58" i="11" s="1"/>
  <c r="Z215" i="11"/>
  <c r="Z58" i="11" s="1"/>
  <c r="AA215" i="11"/>
  <c r="AA58" i="11" s="1"/>
  <c r="AB215" i="11"/>
  <c r="AB58" i="11" s="1"/>
  <c r="AC215" i="11"/>
  <c r="AC58" i="11" s="1"/>
  <c r="AD215" i="11"/>
  <c r="AD58" i="11" s="1"/>
  <c r="AE215" i="11"/>
  <c r="AE58" i="11" s="1"/>
  <c r="AF215" i="11"/>
  <c r="AF58" i="11" s="1"/>
  <c r="AG215" i="11"/>
  <c r="AG58" i="11" s="1"/>
  <c r="AH215" i="11"/>
  <c r="AH58" i="11" s="1"/>
  <c r="AI215" i="11"/>
  <c r="AI58" i="11" s="1"/>
  <c r="AJ215" i="11"/>
  <c r="AJ58" i="11" s="1"/>
  <c r="G215" i="11"/>
  <c r="G58" i="11" s="1"/>
  <c r="H210" i="11"/>
  <c r="I210" i="11"/>
  <c r="J210" i="11"/>
  <c r="K210" i="11"/>
  <c r="L210" i="11"/>
  <c r="M210" i="11"/>
  <c r="N210" i="11"/>
  <c r="O210" i="11"/>
  <c r="P210" i="11"/>
  <c r="Q210" i="11"/>
  <c r="R210" i="11"/>
  <c r="S210" i="11"/>
  <c r="T210" i="11"/>
  <c r="U210" i="11"/>
  <c r="V210" i="11"/>
  <c r="W210" i="11"/>
  <c r="X210" i="11"/>
  <c r="Y210" i="11"/>
  <c r="AA210" i="11"/>
  <c r="AB210" i="11"/>
  <c r="AC210" i="11"/>
  <c r="AF210" i="11"/>
  <c r="AG210" i="11"/>
  <c r="AH210" i="11"/>
  <c r="AI210" i="11"/>
  <c r="I209" i="11"/>
  <c r="J209" i="11"/>
  <c r="K209" i="11"/>
  <c r="L209" i="11"/>
  <c r="M209" i="11"/>
  <c r="N209" i="11"/>
  <c r="O209" i="11"/>
  <c r="P209" i="11"/>
  <c r="Q209" i="11"/>
  <c r="R209" i="11"/>
  <c r="S209" i="11"/>
  <c r="U209" i="11"/>
  <c r="W209" i="11"/>
  <c r="X209" i="11"/>
  <c r="Z209" i="11"/>
  <c r="AB209" i="11"/>
  <c r="AC209" i="11"/>
  <c r="AD209" i="11"/>
  <c r="AE209" i="11"/>
  <c r="AH209" i="11"/>
  <c r="AI209" i="11"/>
  <c r="AJ209" i="11"/>
  <c r="G40" i="11"/>
  <c r="H24" i="11"/>
  <c r="I24" i="11"/>
  <c r="J24" i="11"/>
  <c r="K24" i="11"/>
  <c r="L24" i="11"/>
  <c r="M24" i="11"/>
  <c r="N24" i="11"/>
  <c r="O24" i="11"/>
  <c r="P24" i="11"/>
  <c r="Q24" i="11"/>
  <c r="R24" i="11"/>
  <c r="S24" i="11"/>
  <c r="T24" i="11"/>
  <c r="U24" i="11"/>
  <c r="G24" i="11"/>
  <c r="O21" i="7"/>
  <c r="G120" i="12"/>
  <c r="H120" i="12"/>
  <c r="I120" i="12"/>
  <c r="J120" i="12"/>
  <c r="K120" i="12"/>
  <c r="M120" i="12"/>
  <c r="G119" i="12"/>
  <c r="H119" i="12"/>
  <c r="I119" i="12"/>
  <c r="J119" i="12"/>
  <c r="K119" i="12"/>
  <c r="L119" i="12"/>
  <c r="M119" i="12"/>
  <c r="N119" i="12"/>
  <c r="G118" i="12"/>
  <c r="H118" i="12"/>
  <c r="I118" i="12"/>
  <c r="J118" i="12"/>
  <c r="K118" i="12"/>
  <c r="L118" i="12"/>
  <c r="M118" i="12"/>
  <c r="N118" i="12"/>
  <c r="G117" i="12"/>
  <c r="H117" i="12"/>
  <c r="I117" i="12"/>
  <c r="J117" i="12"/>
  <c r="K117" i="12"/>
  <c r="L117" i="12"/>
  <c r="M117" i="12"/>
  <c r="N117" i="12"/>
  <c r="G116" i="12"/>
  <c r="H116" i="12"/>
  <c r="I116" i="12"/>
  <c r="J116" i="12"/>
  <c r="K116" i="12"/>
  <c r="L116" i="12"/>
  <c r="M116" i="12"/>
  <c r="N116" i="12"/>
  <c r="W149" i="11" l="1"/>
  <c r="V150" i="11"/>
  <c r="W146" i="11"/>
  <c r="V147" i="11"/>
  <c r="K121" i="12"/>
  <c r="I121" i="12"/>
  <c r="G121" i="12"/>
  <c r="M121" i="12"/>
  <c r="J121" i="12"/>
  <c r="H121" i="12"/>
  <c r="D9" i="9"/>
  <c r="X146" i="11" l="1"/>
  <c r="W147" i="11"/>
  <c r="X149" i="11"/>
  <c r="W150" i="11"/>
  <c r="C123" i="12"/>
  <c r="Y149" i="11" l="1"/>
  <c r="X150" i="11"/>
  <c r="Y146" i="11"/>
  <c r="X147" i="11"/>
  <c r="P35" i="10"/>
  <c r="P33" i="10"/>
  <c r="P36" i="10"/>
  <c r="P34" i="10"/>
  <c r="AI219" i="11"/>
  <c r="AI57" i="11" s="1"/>
  <c r="G35" i="10" s="1"/>
  <c r="AB219" i="11"/>
  <c r="AB57" i="11" s="1"/>
  <c r="G28" i="10" s="1"/>
  <c r="X219" i="11"/>
  <c r="X57" i="11" s="1"/>
  <c r="G24" i="10" s="1"/>
  <c r="R219" i="11"/>
  <c r="R57" i="11" s="1"/>
  <c r="G18" i="10" s="1"/>
  <c r="P219" i="11"/>
  <c r="P57" i="11" s="1"/>
  <c r="G16" i="10" s="1"/>
  <c r="N219" i="11"/>
  <c r="N57" i="11" s="1"/>
  <c r="G14" i="10" s="1"/>
  <c r="L219" i="11"/>
  <c r="L57" i="11" s="1"/>
  <c r="G12" i="10" s="1"/>
  <c r="J219" i="11"/>
  <c r="J57" i="11" s="1"/>
  <c r="G10" i="10" s="1"/>
  <c r="AH219" i="11"/>
  <c r="AH57" i="11" s="1"/>
  <c r="G34" i="10" s="1"/>
  <c r="AC219" i="11"/>
  <c r="AC57" i="11" s="1"/>
  <c r="G29" i="10" s="1"/>
  <c r="W219" i="11"/>
  <c r="W57" i="11" s="1"/>
  <c r="G23" i="10" s="1"/>
  <c r="S219" i="11"/>
  <c r="S57" i="11" s="1"/>
  <c r="G19" i="10" s="1"/>
  <c r="Q219" i="11"/>
  <c r="Q57" i="11" s="1"/>
  <c r="G17" i="10" s="1"/>
  <c r="O219" i="11"/>
  <c r="O57" i="11" s="1"/>
  <c r="G15" i="10" s="1"/>
  <c r="M219" i="11"/>
  <c r="M57" i="11" s="1"/>
  <c r="G13" i="10" s="1"/>
  <c r="K219" i="11"/>
  <c r="K57" i="11" s="1"/>
  <c r="G11" i="10" s="1"/>
  <c r="I219" i="11"/>
  <c r="I57" i="11" s="1"/>
  <c r="G9" i="10" s="1"/>
  <c r="Z146" i="11" l="1"/>
  <c r="Y147" i="11"/>
  <c r="Z149" i="11"/>
  <c r="Y150" i="11"/>
  <c r="B82" i="11"/>
  <c r="F120" i="12"/>
  <c r="F119" i="12"/>
  <c r="F118" i="12"/>
  <c r="F117" i="12"/>
  <c r="F116" i="12"/>
  <c r="C108" i="12"/>
  <c r="C101" i="12"/>
  <c r="D101" i="12" s="1"/>
  <c r="C76" i="12"/>
  <c r="C118" i="12" s="1"/>
  <c r="C51" i="12"/>
  <c r="D51" i="12" s="1"/>
  <c r="C26" i="12"/>
  <c r="H139" i="11"/>
  <c r="I139" i="11"/>
  <c r="J139" i="11"/>
  <c r="K139" i="11"/>
  <c r="L139" i="11"/>
  <c r="M139" i="11"/>
  <c r="N139" i="11"/>
  <c r="O139" i="11"/>
  <c r="Q139" i="11"/>
  <c r="S139" i="11"/>
  <c r="T139" i="11"/>
  <c r="U139" i="11"/>
  <c r="V139" i="11"/>
  <c r="W139" i="11"/>
  <c r="X139" i="11"/>
  <c r="Y139" i="11"/>
  <c r="Z139" i="11"/>
  <c r="AA139" i="11"/>
  <c r="AB139" i="11"/>
  <c r="AC139" i="11"/>
  <c r="AD139" i="11"/>
  <c r="AE139" i="11"/>
  <c r="AF139" i="11"/>
  <c r="AG139" i="11"/>
  <c r="AH139" i="11"/>
  <c r="AI139" i="11"/>
  <c r="AJ139" i="11"/>
  <c r="H142" i="11"/>
  <c r="I142" i="11"/>
  <c r="J142" i="11"/>
  <c r="K142" i="11"/>
  <c r="L142" i="11"/>
  <c r="M142" i="11"/>
  <c r="N142" i="11"/>
  <c r="O142" i="11"/>
  <c r="P142" i="11"/>
  <c r="Q142" i="11"/>
  <c r="R142" i="11"/>
  <c r="S142" i="11"/>
  <c r="T142" i="11"/>
  <c r="U142" i="11"/>
  <c r="V142" i="11"/>
  <c r="W142" i="11"/>
  <c r="X142" i="11"/>
  <c r="Y142" i="11"/>
  <c r="AA142" i="11"/>
  <c r="AB142" i="11"/>
  <c r="AC142" i="11"/>
  <c r="AD142" i="11"/>
  <c r="AE142" i="11"/>
  <c r="AF142" i="11"/>
  <c r="AG142" i="11"/>
  <c r="AH142" i="11"/>
  <c r="AI142" i="11"/>
  <c r="AJ142" i="11"/>
  <c r="G142" i="11"/>
  <c r="G143" i="11" s="1"/>
  <c r="G144" i="11" s="1"/>
  <c r="G139" i="11"/>
  <c r="G140" i="11" s="1"/>
  <c r="Z142" i="11"/>
  <c r="P139" i="11"/>
  <c r="H17" i="11"/>
  <c r="H27" i="11" s="1"/>
  <c r="H16" i="11"/>
  <c r="W114" i="11"/>
  <c r="X114" i="11"/>
  <c r="Y114" i="11"/>
  <c r="Z114" i="11"/>
  <c r="AA114" i="11"/>
  <c r="AB114" i="11"/>
  <c r="AC114" i="11"/>
  <c r="AD114" i="11"/>
  <c r="AE114" i="11"/>
  <c r="AF114" i="11"/>
  <c r="AG114" i="11"/>
  <c r="AH114" i="11"/>
  <c r="AI114" i="11"/>
  <c r="AJ114" i="11"/>
  <c r="M113" i="11"/>
  <c r="N113" i="11"/>
  <c r="O113" i="11"/>
  <c r="P113" i="11"/>
  <c r="Q113" i="11"/>
  <c r="R113" i="11"/>
  <c r="S113" i="11"/>
  <c r="T113" i="11"/>
  <c r="U113" i="11"/>
  <c r="V113" i="11"/>
  <c r="W113" i="11"/>
  <c r="X113" i="11"/>
  <c r="Y113" i="11"/>
  <c r="Z113" i="11"/>
  <c r="AA113" i="11"/>
  <c r="AB113" i="11"/>
  <c r="AC113" i="11"/>
  <c r="AD113" i="11"/>
  <c r="AE113" i="11"/>
  <c r="AF113" i="11"/>
  <c r="AG113" i="11"/>
  <c r="AH113" i="11"/>
  <c r="AI113" i="11"/>
  <c r="AJ113" i="11"/>
  <c r="F91" i="11"/>
  <c r="H34" i="11"/>
  <c r="H38" i="11" s="1"/>
  <c r="H15" i="11"/>
  <c r="H11" i="11"/>
  <c r="H30" i="11" s="1"/>
  <c r="F97" i="11"/>
  <c r="AJ115" i="11"/>
  <c r="AI115" i="11"/>
  <c r="AH115" i="11"/>
  <c r="AG115" i="11"/>
  <c r="AF115" i="11"/>
  <c r="AE115" i="11"/>
  <c r="AD115" i="11"/>
  <c r="AC115" i="11"/>
  <c r="AB115" i="11"/>
  <c r="AA149" i="11" l="1"/>
  <c r="Z150" i="11"/>
  <c r="AA146" i="11"/>
  <c r="Z147" i="11"/>
  <c r="H37" i="11"/>
  <c r="H43" i="11"/>
  <c r="I34" i="11"/>
  <c r="I38" i="11" s="1"/>
  <c r="H40" i="11"/>
  <c r="I16" i="11"/>
  <c r="D26" i="12"/>
  <c r="D116" i="12" s="1"/>
  <c r="C107" i="12"/>
  <c r="L120" i="12" s="1"/>
  <c r="L121" i="12" s="1"/>
  <c r="R139" i="11"/>
  <c r="F121" i="12"/>
  <c r="C106" i="12"/>
  <c r="D117" i="12"/>
  <c r="D119" i="12"/>
  <c r="C117" i="12"/>
  <c r="C119" i="12"/>
  <c r="D76" i="12"/>
  <c r="D118" i="12" s="1"/>
  <c r="C116" i="12"/>
  <c r="G141" i="11"/>
  <c r="H140" i="11"/>
  <c r="H141" i="11" s="1"/>
  <c r="H143" i="11"/>
  <c r="H144" i="11" s="1"/>
  <c r="I17" i="11"/>
  <c r="I27" i="11" s="1"/>
  <c r="F31" i="7"/>
  <c r="I15" i="11"/>
  <c r="I11" i="11"/>
  <c r="I30" i="11" s="1"/>
  <c r="AB146" i="11" l="1"/>
  <c r="AA147" i="11"/>
  <c r="AB149" i="11"/>
  <c r="AA150" i="11"/>
  <c r="I37" i="11"/>
  <c r="I43" i="11"/>
  <c r="J34" i="11"/>
  <c r="J38" i="11" s="1"/>
  <c r="I40" i="11"/>
  <c r="C130" i="12"/>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G54" i="7"/>
  <c r="J16" i="11"/>
  <c r="J15" i="11"/>
  <c r="I140" i="11"/>
  <c r="I143" i="11"/>
  <c r="I144" i="11" s="1"/>
  <c r="J17" i="11"/>
  <c r="J27" i="11" s="1"/>
  <c r="J11" i="11"/>
  <c r="J30" i="11" s="1"/>
  <c r="AC149" i="11" l="1"/>
  <c r="AB150" i="11"/>
  <c r="AC146" i="11"/>
  <c r="AB147" i="11"/>
  <c r="J37" i="11"/>
  <c r="J43" i="11"/>
  <c r="K34" i="11"/>
  <c r="K38" i="11" s="1"/>
  <c r="J40" i="11"/>
  <c r="K16" i="11"/>
  <c r="K15" i="11"/>
  <c r="J140" i="11"/>
  <c r="I141" i="11"/>
  <c r="J143" i="11"/>
  <c r="J144" i="11" s="1"/>
  <c r="K17" i="11"/>
  <c r="K27" i="11" s="1"/>
  <c r="K11" i="11"/>
  <c r="K30" i="11" s="1"/>
  <c r="AD146" i="11" l="1"/>
  <c r="AC147" i="11"/>
  <c r="AD149" i="11"/>
  <c r="AC150" i="11"/>
  <c r="K37" i="11"/>
  <c r="K43" i="11"/>
  <c r="L34" i="11"/>
  <c r="L38" i="11" s="1"/>
  <c r="K40" i="11"/>
  <c r="L16" i="11"/>
  <c r="L15" i="11"/>
  <c r="K140" i="11"/>
  <c r="J141" i="11"/>
  <c r="K143" i="11"/>
  <c r="K144" i="11" s="1"/>
  <c r="L17" i="11"/>
  <c r="L27" i="11" s="1"/>
  <c r="L11" i="11"/>
  <c r="L30" i="11" s="1"/>
  <c r="AE149" i="11" l="1"/>
  <c r="AD150" i="11"/>
  <c r="AE146" i="11"/>
  <c r="AD147" i="11"/>
  <c r="L37" i="11"/>
  <c r="L43" i="11"/>
  <c r="M34" i="11"/>
  <c r="M38" i="11" s="1"/>
  <c r="L40" i="11"/>
  <c r="M16" i="11"/>
  <c r="M15" i="11"/>
  <c r="L140" i="11"/>
  <c r="K141" i="11"/>
  <c r="L143" i="11"/>
  <c r="L144" i="11" s="1"/>
  <c r="M17" i="11"/>
  <c r="M27" i="11" s="1"/>
  <c r="M11" i="11"/>
  <c r="M30" i="11" s="1"/>
  <c r="AF146" i="11" l="1"/>
  <c r="AE147" i="11"/>
  <c r="AF149" i="11"/>
  <c r="AE150" i="11"/>
  <c r="M37" i="11"/>
  <c r="M43" i="11"/>
  <c r="N34" i="11"/>
  <c r="N38" i="11" s="1"/>
  <c r="M40" i="11"/>
  <c r="N16" i="11"/>
  <c r="N15" i="11"/>
  <c r="M140" i="11"/>
  <c r="L141" i="11"/>
  <c r="M143" i="11"/>
  <c r="M144" i="11" s="1"/>
  <c r="N17" i="11"/>
  <c r="N27" i="11" s="1"/>
  <c r="N11" i="11"/>
  <c r="N30" i="11" s="1"/>
  <c r="AG149" i="11" l="1"/>
  <c r="AF150" i="11"/>
  <c r="AG146" i="11"/>
  <c r="AF147" i="11"/>
  <c r="N37" i="11"/>
  <c r="N43" i="11"/>
  <c r="O34" i="11"/>
  <c r="O38" i="11" s="1"/>
  <c r="N40" i="11"/>
  <c r="O16" i="11"/>
  <c r="O15" i="11"/>
  <c r="N140" i="11"/>
  <c r="M141" i="11"/>
  <c r="N143" i="11"/>
  <c r="N144" i="11" s="1"/>
  <c r="O17" i="11"/>
  <c r="O27" i="11" s="1"/>
  <c r="O11" i="11"/>
  <c r="O30" i="11" s="1"/>
  <c r="AH146" i="11" l="1"/>
  <c r="AG147" i="11"/>
  <c r="AH149" i="11"/>
  <c r="AG150" i="11"/>
  <c r="O37" i="11"/>
  <c r="O43" i="11"/>
  <c r="P34" i="11"/>
  <c r="P38" i="11" s="1"/>
  <c r="O40" i="11"/>
  <c r="P16" i="11"/>
  <c r="P15" i="11"/>
  <c r="O140" i="11"/>
  <c r="N141" i="11"/>
  <c r="O143" i="11"/>
  <c r="O144" i="11" s="1"/>
  <c r="P17" i="11"/>
  <c r="P27" i="11" s="1"/>
  <c r="P11" i="11"/>
  <c r="P30" i="11" s="1"/>
  <c r="AI149" i="11" l="1"/>
  <c r="AH150" i="11"/>
  <c r="AI146" i="11"/>
  <c r="AH147" i="11"/>
  <c r="P37" i="11"/>
  <c r="P43" i="11"/>
  <c r="Q34" i="11"/>
  <c r="Q38" i="11" s="1"/>
  <c r="P40" i="11"/>
  <c r="Q16" i="11"/>
  <c r="R16" i="11" s="1"/>
  <c r="S16" i="11" s="1"/>
  <c r="T16" i="11" s="1"/>
  <c r="U16" i="11" s="1"/>
  <c r="V16" i="11" s="1"/>
  <c r="W16" i="11" s="1"/>
  <c r="X16" i="11" s="1"/>
  <c r="Y16" i="11" s="1"/>
  <c r="Z16" i="11" s="1"/>
  <c r="AA16" i="11" s="1"/>
  <c r="AB16" i="11" s="1"/>
  <c r="AC16" i="11" s="1"/>
  <c r="AD16" i="11" s="1"/>
  <c r="AE16" i="11" s="1"/>
  <c r="AF16" i="11" s="1"/>
  <c r="AG16" i="11" s="1"/>
  <c r="AH16" i="11" s="1"/>
  <c r="AI16" i="11" s="1"/>
  <c r="AJ16" i="11" s="1"/>
  <c r="O141" i="11"/>
  <c r="P140" i="11"/>
  <c r="Q15" i="11"/>
  <c r="P143" i="11"/>
  <c r="P144" i="11" s="1"/>
  <c r="Q17" i="11"/>
  <c r="R17" i="11" s="1"/>
  <c r="S17" i="11" s="1"/>
  <c r="T17" i="11" s="1"/>
  <c r="U17" i="11" s="1"/>
  <c r="V17" i="11" s="1"/>
  <c r="W17" i="11" s="1"/>
  <c r="X17" i="11" s="1"/>
  <c r="Y17" i="11" s="1"/>
  <c r="Z17" i="11" s="1"/>
  <c r="AA17" i="11" s="1"/>
  <c r="AB17" i="11" s="1"/>
  <c r="AC17" i="11" s="1"/>
  <c r="AD17" i="11" s="1"/>
  <c r="AE17" i="11" s="1"/>
  <c r="AF17" i="11" s="1"/>
  <c r="AG17" i="11" s="1"/>
  <c r="AH17" i="11" s="1"/>
  <c r="AI17" i="11" s="1"/>
  <c r="AJ17" i="11" s="1"/>
  <c r="Q11" i="11"/>
  <c r="Q30" i="11" s="1"/>
  <c r="AJ146" i="11" l="1"/>
  <c r="AJ147" i="11" s="1"/>
  <c r="AI147" i="11"/>
  <c r="AJ149" i="11"/>
  <c r="AJ150" i="11" s="1"/>
  <c r="AI150" i="11"/>
  <c r="Q37" i="11"/>
  <c r="Q43" i="11"/>
  <c r="R34" i="11"/>
  <c r="R38" i="11" s="1"/>
  <c r="Q40" i="11"/>
  <c r="P141" i="11"/>
  <c r="Q140" i="11"/>
  <c r="R15" i="11"/>
  <c r="Q143" i="11"/>
  <c r="Q144" i="11" s="1"/>
  <c r="R11" i="11"/>
  <c r="R30" i="11" s="1"/>
  <c r="R37" i="11" l="1"/>
  <c r="R43" i="11"/>
  <c r="S34" i="11"/>
  <c r="S38" i="11" s="1"/>
  <c r="R40" i="11"/>
  <c r="Q141" i="11"/>
  <c r="R140" i="11"/>
  <c r="S15" i="11"/>
  <c r="R143" i="11"/>
  <c r="R144" i="11" s="1"/>
  <c r="S11" i="11"/>
  <c r="S30" i="11" s="1"/>
  <c r="S37" i="11" l="1"/>
  <c r="S43" i="11"/>
  <c r="T34" i="11"/>
  <c r="T38" i="11" s="1"/>
  <c r="S40" i="11"/>
  <c r="R141" i="11"/>
  <c r="S140" i="11"/>
  <c r="T15" i="11"/>
  <c r="S143" i="11"/>
  <c r="S144" i="11" s="1"/>
  <c r="T11" i="11"/>
  <c r="T30" i="11" s="1"/>
  <c r="T37" i="11" l="1"/>
  <c r="T43" i="11"/>
  <c r="U34" i="11"/>
  <c r="U38" i="11" s="1"/>
  <c r="T40" i="11"/>
  <c r="S141" i="11"/>
  <c r="T140" i="11"/>
  <c r="U15" i="11"/>
  <c r="T143" i="11"/>
  <c r="T144" i="11" s="1"/>
  <c r="U11" i="11"/>
  <c r="U30" i="11" s="1"/>
  <c r="U37" i="11" l="1"/>
  <c r="U43" i="11"/>
  <c r="V34" i="11"/>
  <c r="V38" i="11" s="1"/>
  <c r="U40" i="11"/>
  <c r="T141" i="11"/>
  <c r="U140" i="11"/>
  <c r="V15" i="11"/>
  <c r="U143" i="11"/>
  <c r="U144" i="11" s="1"/>
  <c r="V11" i="11"/>
  <c r="V30" i="11" s="1"/>
  <c r="V37" i="11" l="1"/>
  <c r="V43" i="11"/>
  <c r="W34" i="11"/>
  <c r="W38" i="11" s="1"/>
  <c r="V40" i="11"/>
  <c r="V140" i="11"/>
  <c r="U141" i="11"/>
  <c r="W15" i="11"/>
  <c r="V143" i="11"/>
  <c r="V144" i="11" s="1"/>
  <c r="W11" i="11"/>
  <c r="W30" i="11" s="1"/>
  <c r="W37" i="11" l="1"/>
  <c r="W43" i="11"/>
  <c r="X34" i="11"/>
  <c r="X38" i="11" s="1"/>
  <c r="W40" i="11"/>
  <c r="V141" i="11"/>
  <c r="W140" i="11"/>
  <c r="X15" i="11"/>
  <c r="W143" i="11"/>
  <c r="W144" i="11" s="1"/>
  <c r="X11" i="11"/>
  <c r="X30" i="11" s="1"/>
  <c r="X37" i="11" l="1"/>
  <c r="X43" i="11"/>
  <c r="Y34" i="11"/>
  <c r="Y38" i="11" s="1"/>
  <c r="X40" i="11"/>
  <c r="W141" i="11"/>
  <c r="X140" i="11"/>
  <c r="Y15" i="11"/>
  <c r="X143" i="11"/>
  <c r="X144" i="11" s="1"/>
  <c r="Y11" i="11"/>
  <c r="Y30" i="11" s="1"/>
  <c r="Y37" i="11" l="1"/>
  <c r="Y43" i="11"/>
  <c r="Z34" i="11"/>
  <c r="Z38" i="11" s="1"/>
  <c r="Y40" i="11"/>
  <c r="Y140" i="11"/>
  <c r="X141" i="11"/>
  <c r="Z15" i="11"/>
  <c r="Y143" i="11"/>
  <c r="Z11" i="11"/>
  <c r="Z30" i="11" s="1"/>
  <c r="Z37" i="11" l="1"/>
  <c r="Z43" i="11"/>
  <c r="AA34" i="11"/>
  <c r="AA37" i="11" s="1"/>
  <c r="Z40" i="11"/>
  <c r="Y144" i="11"/>
  <c r="Z143" i="11"/>
  <c r="Y141" i="11"/>
  <c r="Z140" i="11"/>
  <c r="AA15" i="11"/>
  <c r="AB34" i="11" l="1"/>
  <c r="AB37" i="11" s="1"/>
  <c r="AA40" i="11"/>
  <c r="Z141" i="11"/>
  <c r="AA140" i="11"/>
  <c r="Z144" i="11"/>
  <c r="AA143" i="11"/>
  <c r="AB15" i="11"/>
  <c r="AC34" i="11" l="1"/>
  <c r="AC37" i="11" s="1"/>
  <c r="AB40" i="11"/>
  <c r="AA144" i="11"/>
  <c r="AB143" i="11"/>
  <c r="AB140" i="11"/>
  <c r="AA141" i="11"/>
  <c r="AC15" i="11"/>
  <c r="AD34" i="11" l="1"/>
  <c r="AD37" i="11" s="1"/>
  <c r="AC40" i="11"/>
  <c r="AB144" i="11"/>
  <c r="AC143" i="11"/>
  <c r="AC140" i="11"/>
  <c r="AB141" i="11"/>
  <c r="AD15" i="11"/>
  <c r="AE34" i="11" l="1"/>
  <c r="AE37" i="11" s="1"/>
  <c r="AD40" i="11"/>
  <c r="AC144" i="11"/>
  <c r="AD143" i="11"/>
  <c r="AC141" i="11"/>
  <c r="AD140" i="11"/>
  <c r="AE15" i="11"/>
  <c r="AF34" i="11" l="1"/>
  <c r="AE40" i="11"/>
  <c r="AE140" i="11"/>
  <c r="AD141" i="11"/>
  <c r="AD144" i="11"/>
  <c r="AE143" i="11"/>
  <c r="AF15" i="11"/>
  <c r="AG15" i="11" s="1"/>
  <c r="AH15" i="11" s="1"/>
  <c r="AI15" i="11" s="1"/>
  <c r="AJ15" i="11" s="1"/>
  <c r="AG34" i="11" l="1"/>
  <c r="AF40" i="11"/>
  <c r="AE144" i="11"/>
  <c r="AF143" i="11"/>
  <c r="AF140" i="11"/>
  <c r="AE141" i="11"/>
  <c r="AH34" i="11" l="1"/>
  <c r="AG40" i="11"/>
  <c r="AF144" i="11"/>
  <c r="AG143" i="11"/>
  <c r="AF141" i="11"/>
  <c r="AG140" i="11"/>
  <c r="AI34" i="11" l="1"/>
  <c r="AH40" i="11"/>
  <c r="AH140" i="11"/>
  <c r="AG141" i="11"/>
  <c r="AG144" i="11"/>
  <c r="AH143" i="11"/>
  <c r="AJ34" i="11" l="1"/>
  <c r="AI40" i="11"/>
  <c r="AH144" i="11"/>
  <c r="AI143" i="11"/>
  <c r="AI140" i="11"/>
  <c r="AH141" i="11"/>
  <c r="AJ40" i="11" l="1"/>
  <c r="AI144" i="11"/>
  <c r="AJ143" i="11"/>
  <c r="AJ144" i="11" s="1"/>
  <c r="AI141" i="11"/>
  <c r="AJ140" i="11"/>
  <c r="AJ141" i="11" s="1"/>
  <c r="B80" i="12" l="1"/>
  <c r="D45" i="9"/>
  <c r="D41" i="9"/>
  <c r="D42" i="9"/>
  <c r="D26" i="9"/>
  <c r="D40" i="9"/>
  <c r="G84" i="7"/>
  <c r="D47" i="9" l="1"/>
  <c r="D46" i="9"/>
  <c r="D44" i="9"/>
  <c r="D43" i="9"/>
  <c r="AF28" i="11"/>
  <c r="AH28" i="11"/>
  <c r="AJ28" i="11"/>
  <c r="AG28" i="11"/>
  <c r="AI28" i="11"/>
  <c r="H28" i="11"/>
  <c r="I28" i="11"/>
  <c r="J28" i="11"/>
  <c r="K28" i="11"/>
  <c r="L28" i="11"/>
  <c r="M28" i="11"/>
  <c r="N28" i="11"/>
  <c r="O28" i="11"/>
  <c r="P28" i="11"/>
  <c r="V28" i="11"/>
  <c r="W28" i="11"/>
  <c r="X28" i="11"/>
  <c r="Y28" i="11"/>
  <c r="Z28" i="11"/>
  <c r="AA28" i="11"/>
  <c r="AB28" i="11"/>
  <c r="AC28" i="11"/>
  <c r="AD28" i="11"/>
  <c r="AE28" i="11"/>
  <c r="G28" i="11"/>
  <c r="U28" i="11" l="1"/>
  <c r="S28" i="11"/>
  <c r="Q28" i="11"/>
  <c r="T28" i="11"/>
  <c r="R28" i="11"/>
  <c r="P196" i="11"/>
  <c r="O196" i="11"/>
  <c r="M196" i="11"/>
  <c r="N196" i="11"/>
  <c r="L196" i="11"/>
  <c r="AG24" i="11"/>
  <c r="AG26" i="11"/>
  <c r="AI26" i="11"/>
  <c r="AI24" i="11"/>
  <c r="AJ26" i="11"/>
  <c r="AJ24" i="11"/>
  <c r="AF24" i="11"/>
  <c r="AF26" i="11"/>
  <c r="AH24" i="11"/>
  <c r="AH26" i="11"/>
  <c r="AE24" i="11"/>
  <c r="AA24" i="11"/>
  <c r="AD24" i="11"/>
  <c r="AB24" i="11"/>
  <c r="AC24" i="11"/>
  <c r="Z24" i="11"/>
  <c r="X24" i="11"/>
  <c r="V24" i="11"/>
  <c r="Y24" i="11"/>
  <c r="W24" i="11"/>
  <c r="AE26" i="11"/>
  <c r="AC26" i="11"/>
  <c r="AA26" i="11"/>
  <c r="AD26" i="11"/>
  <c r="AB26" i="11"/>
  <c r="Z26" i="11"/>
  <c r="X26" i="11"/>
  <c r="V26" i="11"/>
  <c r="T26" i="11"/>
  <c r="P26" i="11"/>
  <c r="N26" i="11"/>
  <c r="L26" i="11"/>
  <c r="J26" i="11"/>
  <c r="H26" i="11"/>
  <c r="Y26" i="11"/>
  <c r="W26" i="11"/>
  <c r="U26" i="11"/>
  <c r="S26" i="11"/>
  <c r="Q26" i="11"/>
  <c r="O26" i="11"/>
  <c r="M26" i="11"/>
  <c r="K26" i="11"/>
  <c r="I26" i="11"/>
  <c r="G26" i="11"/>
  <c r="R26" i="11"/>
  <c r="B105" i="12"/>
  <c r="F29" i="7" l="1"/>
  <c r="B55" i="12"/>
  <c r="B30" i="12"/>
  <c r="B5" i="12"/>
  <c r="AH96" i="11" l="1"/>
  <c r="AJ96" i="11"/>
  <c r="AH97" i="11"/>
  <c r="AJ97" i="11"/>
  <c r="AG96" i="11"/>
  <c r="AI96" i="11"/>
  <c r="AG97" i="11"/>
  <c r="AI97" i="11"/>
  <c r="AG102" i="11" l="1"/>
  <c r="AG56" i="11"/>
  <c r="AI53" i="11"/>
  <c r="AI95" i="11"/>
  <c r="F35" i="10" s="1"/>
  <c r="AH102" i="11"/>
  <c r="AH56" i="11"/>
  <c r="AJ53" i="11"/>
  <c r="AJ95" i="11"/>
  <c r="F36" i="10" s="1"/>
  <c r="AI102" i="11"/>
  <c r="AI56" i="11"/>
  <c r="AG53" i="11"/>
  <c r="AG95" i="11"/>
  <c r="F33" i="10" s="1"/>
  <c r="AJ102" i="11"/>
  <c r="AJ56" i="11"/>
  <c r="AH53" i="11"/>
  <c r="AH95" i="11"/>
  <c r="F34" i="10" s="1"/>
  <c r="U219" i="11" l="1"/>
  <c r="U57" i="11" s="1"/>
  <c r="G21" i="10" s="1"/>
  <c r="J234" i="11" l="1"/>
  <c r="N234" i="11" s="1"/>
  <c r="N224" i="11" l="1"/>
  <c r="N225" i="11" s="1"/>
  <c r="N226" i="11" s="1"/>
  <c r="N227" i="11" s="1"/>
  <c r="N228" i="11" s="1"/>
  <c r="N229" i="11" s="1"/>
  <c r="N230" i="11" s="1"/>
  <c r="N231" i="11" s="1"/>
  <c r="N232" i="11" s="1"/>
  <c r="N233" i="11" s="1"/>
  <c r="S223" i="11" l="1"/>
  <c r="R223" i="11"/>
  <c r="G82" i="11" s="1"/>
  <c r="G19" i="11" l="1"/>
  <c r="G20" i="11" l="1"/>
  <c r="H20" i="11" s="1"/>
  <c r="I20" i="11" s="1"/>
  <c r="J20" i="11" s="1"/>
  <c r="K20" i="11" s="1"/>
  <c r="L20" i="11" s="1"/>
  <c r="M20" i="11" s="1"/>
  <c r="N20" i="11" s="1"/>
  <c r="O20" i="11" s="1"/>
  <c r="P20" i="11" s="1"/>
  <c r="Q20" i="11" s="1"/>
  <c r="R20" i="11" s="1"/>
  <c r="S20" i="11" s="1"/>
  <c r="T20" i="11" s="1"/>
  <c r="U20" i="11" s="1"/>
  <c r="V20" i="11" s="1"/>
  <c r="W20" i="11" s="1"/>
  <c r="X20" i="11" s="1"/>
  <c r="Y20" i="11" s="1"/>
  <c r="Z20" i="11" s="1"/>
  <c r="AA20" i="11" s="1"/>
  <c r="AB20" i="11" s="1"/>
  <c r="AC20" i="11" s="1"/>
  <c r="AD20" i="11" s="1"/>
  <c r="AE20" i="11" s="1"/>
  <c r="AF20" i="11" s="1"/>
  <c r="AG20" i="11" s="1"/>
  <c r="AH20" i="11" s="1"/>
  <c r="AI20" i="11" s="1"/>
  <c r="AJ20" i="11" s="1"/>
  <c r="D7" i="9"/>
  <c r="H19" i="11"/>
  <c r="I19" i="11" s="1"/>
  <c r="G21" i="11" l="1"/>
  <c r="C7" i="10" s="1"/>
  <c r="H21" i="11"/>
  <c r="C8" i="10" s="1"/>
  <c r="I21" i="11"/>
  <c r="J19" i="11"/>
  <c r="G22" i="11" l="1"/>
  <c r="H22" i="11"/>
  <c r="K19" i="11"/>
  <c r="J21" i="11"/>
  <c r="I22" i="11"/>
  <c r="C9" i="10"/>
  <c r="H44" i="11" l="1"/>
  <c r="I44" i="11"/>
  <c r="G44" i="11"/>
  <c r="G49" i="7" s="1"/>
  <c r="L19" i="11"/>
  <c r="K21" i="11"/>
  <c r="J22" i="11"/>
  <c r="C10" i="10"/>
  <c r="J44" i="11" l="1"/>
  <c r="M19" i="11"/>
  <c r="L21" i="11"/>
  <c r="K22" i="11"/>
  <c r="C11" i="10"/>
  <c r="K44" i="11" l="1"/>
  <c r="L22" i="11"/>
  <c r="C12" i="10"/>
  <c r="N19" i="11"/>
  <c r="M21" i="11"/>
  <c r="L44" i="11" l="1"/>
  <c r="C13" i="10"/>
  <c r="M22" i="11"/>
  <c r="O19" i="11"/>
  <c r="N21" i="11"/>
  <c r="M44" i="11" l="1"/>
  <c r="C14" i="10"/>
  <c r="N22" i="11"/>
  <c r="O21" i="11"/>
  <c r="P19" i="11"/>
  <c r="N44" i="11" l="1"/>
  <c r="P21" i="11"/>
  <c r="Q19" i="11"/>
  <c r="C15" i="10"/>
  <c r="O22" i="11"/>
  <c r="O44" i="11" l="1"/>
  <c r="P22" i="11"/>
  <c r="C16" i="10"/>
  <c r="Q21" i="11"/>
  <c r="R19" i="11"/>
  <c r="P44" i="11" l="1"/>
  <c r="S19" i="11"/>
  <c r="R21" i="11"/>
  <c r="C17" i="10"/>
  <c r="Q22" i="11"/>
  <c r="Q44" i="11" l="1"/>
  <c r="C18" i="10"/>
  <c r="R22" i="11"/>
  <c r="T19" i="11"/>
  <c r="S21" i="11"/>
  <c r="R44" i="11" l="1"/>
  <c r="U19" i="11"/>
  <c r="T21" i="11"/>
  <c r="C19" i="10"/>
  <c r="S22" i="11"/>
  <c r="S44" i="11" l="1"/>
  <c r="T22" i="11"/>
  <c r="C20" i="10"/>
  <c r="V19" i="11"/>
  <c r="U21" i="11"/>
  <c r="T44" i="11" l="1"/>
  <c r="V21" i="11"/>
  <c r="W19" i="11"/>
  <c r="U22" i="11"/>
  <c r="C21" i="10"/>
  <c r="U44" i="11" l="1"/>
  <c r="V22" i="11"/>
  <c r="C22" i="10"/>
  <c r="W21" i="11"/>
  <c r="X19" i="11"/>
  <c r="V44" i="11" l="1"/>
  <c r="X21" i="11"/>
  <c r="Y19" i="11"/>
  <c r="W22" i="11"/>
  <c r="C23" i="10"/>
  <c r="W44" i="11" l="1"/>
  <c r="X22" i="11"/>
  <c r="C24" i="10"/>
  <c r="Y21" i="11"/>
  <c r="Z19" i="11"/>
  <c r="X44" i="11" l="1"/>
  <c r="Y22" i="11"/>
  <c r="C25" i="10"/>
  <c r="AA19" i="11"/>
  <c r="Z21" i="11"/>
  <c r="Y44" i="11" l="1"/>
  <c r="AA21" i="11"/>
  <c r="AB19" i="11"/>
  <c r="Z22" i="11"/>
  <c r="C26" i="10"/>
  <c r="Z44" i="11" l="1"/>
  <c r="AC19" i="11"/>
  <c r="AB21" i="11"/>
  <c r="C27" i="10"/>
  <c r="AA22" i="11"/>
  <c r="AA44" i="11" l="1"/>
  <c r="AB22" i="11"/>
  <c r="C28" i="10"/>
  <c r="AC21" i="11"/>
  <c r="AD19" i="11"/>
  <c r="AB44" i="11" l="1"/>
  <c r="AC22" i="11"/>
  <c r="C29" i="10"/>
  <c r="AE19" i="11"/>
  <c r="AD21" i="11"/>
  <c r="AC44" i="11" l="1"/>
  <c r="AE21" i="11"/>
  <c r="AE22" i="11" s="1"/>
  <c r="AF19" i="11"/>
  <c r="C31" i="10"/>
  <c r="AD22" i="11"/>
  <c r="C30" i="10"/>
  <c r="AE44" i="11" l="1"/>
  <c r="AD44" i="11"/>
  <c r="AF21" i="11"/>
  <c r="AG19" i="11"/>
  <c r="AH19" i="11" l="1"/>
  <c r="AG21" i="11"/>
  <c r="AF22" i="11"/>
  <c r="C32" i="10"/>
  <c r="AD210" i="11"/>
  <c r="AD219" i="11" s="1"/>
  <c r="AD57" i="11" s="1"/>
  <c r="G30" i="10" s="1"/>
  <c r="AF44" i="11" l="1"/>
  <c r="C33" i="10"/>
  <c r="AG22" i="11"/>
  <c r="AI19" i="11"/>
  <c r="AH21" i="11"/>
  <c r="AF96" i="11"/>
  <c r="AE96" i="11"/>
  <c r="AD96" i="11"/>
  <c r="AB97" i="11"/>
  <c r="AF97" i="11"/>
  <c r="AC96" i="11"/>
  <c r="AA97" i="11"/>
  <c r="AE97" i="11"/>
  <c r="AB96" i="11"/>
  <c r="AD97" i="11"/>
  <c r="AA96" i="11"/>
  <c r="AC97" i="11"/>
  <c r="AG44" i="11" l="1"/>
  <c r="AJ19" i="11"/>
  <c r="AJ21" i="11" s="1"/>
  <c r="AI21" i="11"/>
  <c r="C34" i="10"/>
  <c r="AH22" i="11"/>
  <c r="AA53" i="11"/>
  <c r="AA95" i="11"/>
  <c r="F27" i="10" s="1"/>
  <c r="AB95" i="11"/>
  <c r="F28" i="10" s="1"/>
  <c r="AB53" i="11"/>
  <c r="AA102" i="11"/>
  <c r="AA56" i="11"/>
  <c r="AF56" i="11"/>
  <c r="AF102" i="11"/>
  <c r="AD95" i="11"/>
  <c r="F30" i="10" s="1"/>
  <c r="AD53" i="11"/>
  <c r="AF95" i="11"/>
  <c r="F32" i="10" s="1"/>
  <c r="AF53" i="11"/>
  <c r="AC102" i="11"/>
  <c r="AC56" i="11"/>
  <c r="AD56" i="11"/>
  <c r="AD102" i="11"/>
  <c r="AE102" i="11"/>
  <c r="AE56" i="11"/>
  <c r="AC53" i="11"/>
  <c r="AC95" i="11"/>
  <c r="F29" i="10" s="1"/>
  <c r="AB102" i="11"/>
  <c r="AB56" i="11"/>
  <c r="AE95" i="11"/>
  <c r="F31" i="10" s="1"/>
  <c r="AE53" i="11"/>
  <c r="AH44" i="11" l="1"/>
  <c r="D14" i="9"/>
  <c r="C36" i="10"/>
  <c r="AJ22" i="11"/>
  <c r="C35" i="10"/>
  <c r="AI22" i="11"/>
  <c r="H209" i="11"/>
  <c r="H219" i="11" s="1"/>
  <c r="H57" i="11" s="1"/>
  <c r="G8" i="10" s="1"/>
  <c r="AG209" i="11"/>
  <c r="AG219" i="11" s="1"/>
  <c r="AG57" i="11" s="1"/>
  <c r="AF209" i="11"/>
  <c r="AF219" i="11" s="1"/>
  <c r="AF57" i="11" s="1"/>
  <c r="G32" i="10" s="1"/>
  <c r="G33" i="10"/>
  <c r="AI44" i="11" l="1"/>
  <c r="AJ44" i="11"/>
  <c r="P27" i="10"/>
  <c r="P32" i="10" l="1"/>
  <c r="P28" i="10"/>
  <c r="P29" i="10" l="1"/>
  <c r="P30" i="10" l="1"/>
  <c r="P31" i="10" l="1"/>
  <c r="G209" i="11" l="1"/>
  <c r="AE210" i="11" l="1"/>
  <c r="AE219" i="11" s="1"/>
  <c r="AE57" i="11" s="1"/>
  <c r="G31" i="10" s="1"/>
  <c r="V96" i="11" l="1"/>
  <c r="V53" i="11" s="1"/>
  <c r="V97" i="11"/>
  <c r="V102" i="11" s="1"/>
  <c r="X96" i="11"/>
  <c r="X53" i="11" s="1"/>
  <c r="Y97" i="11"/>
  <c r="Y102" i="11" s="1"/>
  <c r="W97" i="11"/>
  <c r="W102" i="11" s="1"/>
  <c r="W96" i="11"/>
  <c r="Z97" i="11"/>
  <c r="X97" i="11"/>
  <c r="Y96" i="11"/>
  <c r="V95" i="11" l="1"/>
  <c r="F22" i="10" s="1"/>
  <c r="V56" i="11"/>
  <c r="Y56" i="11"/>
  <c r="W56" i="11"/>
  <c r="X56" i="11"/>
  <c r="X102" i="11"/>
  <c r="X95" i="11"/>
  <c r="F24" i="10" s="1"/>
  <c r="Z102" i="11"/>
  <c r="Z56" i="11"/>
  <c r="Y53" i="11"/>
  <c r="Y95" i="11"/>
  <c r="F25" i="10" s="1"/>
  <c r="W53" i="11"/>
  <c r="W95" i="11"/>
  <c r="F23" i="10" s="1"/>
  <c r="AD199" i="11" l="1"/>
  <c r="AH199" i="11"/>
  <c r="AC199" i="11"/>
  <c r="AG199" i="11"/>
  <c r="AB199" i="11"/>
  <c r="AF199" i="11"/>
  <c r="AE199" i="11"/>
  <c r="AI199" i="11"/>
  <c r="AJ199" i="11"/>
  <c r="Y209" i="11"/>
  <c r="Y219" i="11" s="1"/>
  <c r="Y57" i="11" s="1"/>
  <c r="G25" i="10" s="1"/>
  <c r="AA209" i="11"/>
  <c r="AA219" i="11" s="1"/>
  <c r="AA57" i="11" s="1"/>
  <c r="G27" i="10" s="1"/>
  <c r="AJ189" i="11" l="1"/>
  <c r="AJ188" i="11"/>
  <c r="AI189" i="11"/>
  <c r="AI188" i="11"/>
  <c r="AF189" i="11"/>
  <c r="AF188" i="11"/>
  <c r="AB189" i="11"/>
  <c r="AB188" i="11"/>
  <c r="AG189" i="11"/>
  <c r="AG188" i="11"/>
  <c r="AC189" i="11"/>
  <c r="AC188" i="11"/>
  <c r="AH188" i="11"/>
  <c r="AH189" i="11"/>
  <c r="AD189" i="11"/>
  <c r="AD188" i="11"/>
  <c r="AE189" i="11"/>
  <c r="AE188" i="11"/>
  <c r="AJ202" i="11"/>
  <c r="AJ203" i="11"/>
  <c r="AJ76" i="11" s="1"/>
  <c r="AI203" i="11"/>
  <c r="AI76" i="11" s="1"/>
  <c r="AI202" i="11"/>
  <c r="AE203" i="11"/>
  <c r="AE76" i="11" s="1"/>
  <c r="AE202" i="11"/>
  <c r="AF203" i="11"/>
  <c r="AF76" i="11" s="1"/>
  <c r="AF202" i="11"/>
  <c r="AB203" i="11"/>
  <c r="AB76" i="11" s="1"/>
  <c r="AB202" i="11"/>
  <c r="AG202" i="11"/>
  <c r="AG203" i="11"/>
  <c r="AG76" i="11" s="1"/>
  <c r="AC203" i="11"/>
  <c r="AC76" i="11" s="1"/>
  <c r="AC202" i="11"/>
  <c r="AH203" i="11"/>
  <c r="AH76" i="11" s="1"/>
  <c r="AH202" i="11"/>
  <c r="AD202" i="11"/>
  <c r="AD203" i="11"/>
  <c r="AD76" i="11" s="1"/>
  <c r="P22" i="10" l="1"/>
  <c r="P23" i="10" l="1"/>
  <c r="P24" i="10" l="1"/>
  <c r="P26" i="10" l="1"/>
  <c r="P25" i="10"/>
  <c r="Z96" i="11"/>
  <c r="Z53" i="11" s="1"/>
  <c r="Z95" i="11" l="1"/>
  <c r="F26" i="10" s="1"/>
  <c r="I193" i="11" l="1"/>
  <c r="I196" i="11" s="1"/>
  <c r="K193" i="11"/>
  <c r="K196" i="11" s="1"/>
  <c r="H193" i="11"/>
  <c r="H196" i="11" s="1"/>
  <c r="J193" i="11"/>
  <c r="J196" i="11" s="1"/>
  <c r="G199" i="11" l="1"/>
  <c r="G185" i="11" l="1"/>
  <c r="G202" i="11"/>
  <c r="G203" i="11"/>
  <c r="H199" i="11"/>
  <c r="H185" i="11" l="1"/>
  <c r="G188" i="11"/>
  <c r="G189" i="11" s="1"/>
  <c r="H202" i="11"/>
  <c r="H203" i="11"/>
  <c r="H76" i="11" s="1"/>
  <c r="I199" i="11"/>
  <c r="G204" i="11"/>
  <c r="H201" i="11" s="1"/>
  <c r="I185" i="11" l="1"/>
  <c r="G190" i="11"/>
  <c r="H187" i="11" s="1"/>
  <c r="H188" i="11"/>
  <c r="H189" i="11"/>
  <c r="H204" i="11"/>
  <c r="I201" i="11" s="1"/>
  <c r="I202" i="11"/>
  <c r="I203" i="11"/>
  <c r="I76" i="11" s="1"/>
  <c r="H190" i="11" l="1"/>
  <c r="I187" i="11" s="1"/>
  <c r="I188" i="11"/>
  <c r="I189" i="11"/>
  <c r="J199" i="11"/>
  <c r="I204" i="11"/>
  <c r="J201" i="11" s="1"/>
  <c r="I190" i="11" l="1"/>
  <c r="J187" i="11" s="1"/>
  <c r="J188" i="11"/>
  <c r="J189" i="11"/>
  <c r="J202" i="11"/>
  <c r="J203" i="11"/>
  <c r="J76" i="11" s="1"/>
  <c r="K199" i="11"/>
  <c r="K188" i="11" l="1"/>
  <c r="K189" i="11"/>
  <c r="J190" i="11"/>
  <c r="K187" i="11" s="1"/>
  <c r="J204" i="11"/>
  <c r="K201" i="11" s="1"/>
  <c r="K202" i="11"/>
  <c r="K203" i="11"/>
  <c r="K76" i="11" s="1"/>
  <c r="K190" i="11" l="1"/>
  <c r="L187" i="11" s="1"/>
  <c r="K204" i="11"/>
  <c r="L201" i="11" s="1"/>
  <c r="K185" i="11" l="1"/>
  <c r="L199" i="11"/>
  <c r="L188" i="11" l="1"/>
  <c r="L189" i="11"/>
  <c r="L203" i="11"/>
  <c r="L76" i="11" s="1"/>
  <c r="L202" i="11"/>
  <c r="M199" i="11"/>
  <c r="M188" i="11" l="1"/>
  <c r="M189" i="11"/>
  <c r="L190" i="11"/>
  <c r="M187" i="11" s="1"/>
  <c r="L204" i="11"/>
  <c r="M201" i="11" s="1"/>
  <c r="M203" i="11"/>
  <c r="M76" i="11" s="1"/>
  <c r="M202" i="11"/>
  <c r="M204" i="11" l="1"/>
  <c r="N201" i="11" s="1"/>
  <c r="M190" i="11"/>
  <c r="N187" i="11" s="1"/>
  <c r="N199" i="11"/>
  <c r="N189" i="11" l="1"/>
  <c r="N188" i="11"/>
  <c r="N203" i="11"/>
  <c r="N76" i="11" s="1"/>
  <c r="N202" i="11"/>
  <c r="N190" i="11" l="1"/>
  <c r="O187" i="11" s="1"/>
  <c r="N204" i="11"/>
  <c r="O201" i="11" s="1"/>
  <c r="O199" i="11"/>
  <c r="O188" i="11" l="1"/>
  <c r="O189" i="11"/>
  <c r="O202" i="11"/>
  <c r="O203" i="11"/>
  <c r="O76" i="11" s="1"/>
  <c r="O190" i="11" l="1"/>
  <c r="P187" i="11" s="1"/>
  <c r="O204" i="11"/>
  <c r="P201" i="11" s="1"/>
  <c r="P199" i="11"/>
  <c r="P188" i="11" l="1"/>
  <c r="P189" i="11"/>
  <c r="P202" i="11"/>
  <c r="P203" i="11"/>
  <c r="P76" i="11" s="1"/>
  <c r="P190" i="11" l="1"/>
  <c r="Q187" i="11" s="1"/>
  <c r="P204" i="11"/>
  <c r="Q201" i="11" s="1"/>
  <c r="Q199" i="11"/>
  <c r="Q189" i="11" l="1"/>
  <c r="Q188" i="11"/>
  <c r="Q202" i="11"/>
  <c r="Q203" i="11"/>
  <c r="Q76" i="11" s="1"/>
  <c r="R199" i="11"/>
  <c r="R188" i="11" l="1"/>
  <c r="R189" i="11"/>
  <c r="Q190" i="11"/>
  <c r="R187" i="11" s="1"/>
  <c r="R202" i="11"/>
  <c r="R203" i="11"/>
  <c r="R76" i="11" s="1"/>
  <c r="Q204" i="11"/>
  <c r="R201" i="11" s="1"/>
  <c r="R190" i="11" l="1"/>
  <c r="S187" i="11" s="1"/>
  <c r="R204" i="11"/>
  <c r="S201" i="11" s="1"/>
  <c r="S199" i="11" l="1"/>
  <c r="S188" i="11" l="1"/>
  <c r="S189" i="11"/>
  <c r="T199" i="11"/>
  <c r="S202" i="11"/>
  <c r="S203" i="11"/>
  <c r="S76" i="11" s="1"/>
  <c r="T188" i="11" l="1"/>
  <c r="S190" i="11"/>
  <c r="T187" i="11" s="1"/>
  <c r="S204" i="11"/>
  <c r="T201" i="11" s="1"/>
  <c r="U199" i="11"/>
  <c r="T202" i="11"/>
  <c r="T203" i="11"/>
  <c r="T76" i="11" s="1"/>
  <c r="T189" i="11" l="1"/>
  <c r="U188" i="11"/>
  <c r="T204" i="11"/>
  <c r="U201" i="11" s="1"/>
  <c r="U203" i="11"/>
  <c r="U76" i="11" s="1"/>
  <c r="U202" i="11"/>
  <c r="U204" i="11" l="1"/>
  <c r="V201" i="11" s="1"/>
  <c r="T190" i="11"/>
  <c r="V199" i="11"/>
  <c r="V188" i="11" l="1"/>
  <c r="U187" i="11"/>
  <c r="U189" i="11"/>
  <c r="W199" i="11"/>
  <c r="V202" i="11"/>
  <c r="V203" i="11"/>
  <c r="V76" i="11" s="1"/>
  <c r="U190" i="11" l="1"/>
  <c r="W188" i="11"/>
  <c r="V204" i="11"/>
  <c r="W201" i="11" s="1"/>
  <c r="W202" i="11"/>
  <c r="V187" i="11" l="1"/>
  <c r="V189" i="11"/>
  <c r="W203" i="11"/>
  <c r="W76" i="11" s="1"/>
  <c r="W204" i="11" l="1"/>
  <c r="X201" i="11" s="1"/>
  <c r="V190" i="11"/>
  <c r="X199" i="11"/>
  <c r="W187" i="11" l="1"/>
  <c r="W189" i="11"/>
  <c r="X188" i="11"/>
  <c r="Y199" i="11"/>
  <c r="X202" i="11"/>
  <c r="X203" i="11"/>
  <c r="X76" i="11" s="1"/>
  <c r="Y188" i="11" l="1"/>
  <c r="W190" i="11"/>
  <c r="Y202" i="11"/>
  <c r="Z199" i="11"/>
  <c r="X204" i="11"/>
  <c r="Y201" i="11" s="1"/>
  <c r="Z188" i="11" l="1"/>
  <c r="X187" i="11"/>
  <c r="X189" i="11"/>
  <c r="AA199" i="11"/>
  <c r="Z202" i="11"/>
  <c r="Y203" i="11"/>
  <c r="Y76" i="11" s="1"/>
  <c r="X190" i="11" l="1"/>
  <c r="AA188" i="11"/>
  <c r="Y204" i="11"/>
  <c r="Z201" i="11" s="1"/>
  <c r="AA202" i="11"/>
  <c r="AA203" i="11"/>
  <c r="AA76" i="11" s="1"/>
  <c r="Y187" i="11" l="1"/>
  <c r="Y189" i="11"/>
  <c r="Z203" i="11"/>
  <c r="Z76" i="11" s="1"/>
  <c r="Y190" i="11" l="1"/>
  <c r="Z204" i="11"/>
  <c r="AA201" i="11" s="1"/>
  <c r="AA204" i="11" s="1"/>
  <c r="AB201" i="11" s="1"/>
  <c r="AB204" i="11" s="1"/>
  <c r="AC201" i="11" s="1"/>
  <c r="AC204" i="11" s="1"/>
  <c r="AD201" i="11" s="1"/>
  <c r="AD204" i="11" s="1"/>
  <c r="AE201" i="11" s="1"/>
  <c r="AE204" i="11" s="1"/>
  <c r="AF201" i="11" s="1"/>
  <c r="AF204" i="11" s="1"/>
  <c r="AG201" i="11" s="1"/>
  <c r="AG204" i="11" s="1"/>
  <c r="AH201" i="11" s="1"/>
  <c r="AH204" i="11" s="1"/>
  <c r="AI201" i="11" s="1"/>
  <c r="AI204" i="11" s="1"/>
  <c r="AJ201" i="11" s="1"/>
  <c r="AJ204" i="11" s="1"/>
  <c r="Z187" i="11" l="1"/>
  <c r="Z189" i="11"/>
  <c r="Z190" i="11" l="1"/>
  <c r="AA187" i="11" l="1"/>
  <c r="AA189" i="11"/>
  <c r="AA190" i="11" l="1"/>
  <c r="AB187" i="11" s="1"/>
  <c r="AB190" i="11" s="1"/>
  <c r="AC187" i="11" s="1"/>
  <c r="AC190" i="11" s="1"/>
  <c r="AD187" i="11" s="1"/>
  <c r="AD190" i="11" s="1"/>
  <c r="AE187" i="11" s="1"/>
  <c r="AE190" i="11" s="1"/>
  <c r="AF187" i="11" s="1"/>
  <c r="AF190" i="11" s="1"/>
  <c r="AG187" i="11" s="1"/>
  <c r="AG190" i="11" s="1"/>
  <c r="AH187" i="11" s="1"/>
  <c r="AH190" i="11" s="1"/>
  <c r="AI187" i="11" s="1"/>
  <c r="AI190" i="11" s="1"/>
  <c r="AJ187" i="11" s="1"/>
  <c r="AJ190" i="11" s="1"/>
  <c r="Z185" i="11"/>
  <c r="Y185" i="11"/>
  <c r="X185" i="11"/>
  <c r="AA185" i="11"/>
  <c r="W185" i="11"/>
  <c r="V185" i="11"/>
  <c r="U185" i="11"/>
  <c r="T185" i="11"/>
  <c r="S185" i="11"/>
  <c r="R185" i="11"/>
  <c r="Q185" i="11"/>
  <c r="P185" i="11"/>
  <c r="O185" i="11"/>
  <c r="N185" i="11"/>
  <c r="L185" i="11"/>
  <c r="M185" i="11"/>
  <c r="J185" i="11"/>
  <c r="AI39" i="11" l="1"/>
  <c r="AI45" i="11" s="1"/>
  <c r="AH39" i="11"/>
  <c r="AH45" i="11" s="1"/>
  <c r="AG39" i="11"/>
  <c r="AG45" i="11" s="1"/>
  <c r="AE39" i="11"/>
  <c r="AE45" i="11" s="1"/>
  <c r="AC39" i="11"/>
  <c r="AC45" i="11" s="1"/>
  <c r="AF39" i="11"/>
  <c r="AF45" i="11" s="1"/>
  <c r="AJ39" i="11"/>
  <c r="AJ45" i="11" s="1"/>
  <c r="AD39" i="11"/>
  <c r="AD45" i="11" s="1"/>
  <c r="AB39" i="11"/>
  <c r="AB45" i="11" s="1"/>
  <c r="AA39" i="11"/>
  <c r="AA45" i="11" s="1"/>
  <c r="AA46" i="11" l="1"/>
  <c r="AA47" i="11"/>
  <c r="E27" i="10"/>
  <c r="S27" i="10" s="1"/>
  <c r="E30" i="10"/>
  <c r="S30" i="10" s="1"/>
  <c r="AD47" i="11"/>
  <c r="AD46" i="11"/>
  <c r="AF47" i="11"/>
  <c r="AF46" i="11"/>
  <c r="E32" i="10"/>
  <c r="S32" i="10" s="1"/>
  <c r="AE46" i="11"/>
  <c r="AE47" i="11"/>
  <c r="E31" i="10"/>
  <c r="S31" i="10" s="1"/>
  <c r="AH46" i="11"/>
  <c r="AH47" i="11"/>
  <c r="E34" i="10"/>
  <c r="S34" i="10" s="1"/>
  <c r="E28" i="10"/>
  <c r="S28" i="10" s="1"/>
  <c r="AB46" i="11"/>
  <c r="AB47" i="11"/>
  <c r="AJ47" i="11"/>
  <c r="AJ46" i="11"/>
  <c r="E36" i="10"/>
  <c r="AC46" i="11"/>
  <c r="AC47" i="11"/>
  <c r="E29" i="10"/>
  <c r="S29" i="10" s="1"/>
  <c r="AG46" i="11"/>
  <c r="AG47" i="11"/>
  <c r="E33" i="10"/>
  <c r="S33" i="10" s="1"/>
  <c r="E35" i="10"/>
  <c r="S35" i="10" s="1"/>
  <c r="AI46" i="11"/>
  <c r="AI47" i="11"/>
  <c r="G36" i="10" l="1"/>
  <c r="S36" i="10" s="1"/>
  <c r="G210" i="11"/>
  <c r="G219" i="11" s="1"/>
  <c r="G57" i="11" s="1"/>
  <c r="G7" i="10" s="1"/>
  <c r="AC152" i="11" l="1"/>
  <c r="AC67" i="11" s="1"/>
  <c r="AC154" i="11" l="1"/>
  <c r="AA216" i="11" l="1"/>
  <c r="AB208" i="11" s="1"/>
  <c r="AB216" i="11" l="1"/>
  <c r="AC208" i="11" s="1"/>
  <c r="D27" i="10" l="1"/>
  <c r="AB218" i="11"/>
  <c r="AB29" i="11" s="1"/>
  <c r="AB31" i="11" s="1"/>
  <c r="AC216" i="11"/>
  <c r="AD208" i="11" s="1"/>
  <c r="D28" i="10" l="1"/>
  <c r="AB49" i="11"/>
  <c r="AB54" i="11" s="1"/>
  <c r="AC218" i="11"/>
  <c r="AC29" i="11" s="1"/>
  <c r="AC31" i="11" s="1"/>
  <c r="AD216" i="11"/>
  <c r="AE208" i="11" s="1"/>
  <c r="H27" i="10"/>
  <c r="D29" i="10" l="1"/>
  <c r="AC49" i="11"/>
  <c r="AC54" i="11" s="1"/>
  <c r="H28" i="10"/>
  <c r="AD218" i="11"/>
  <c r="AD29" i="11" s="1"/>
  <c r="AD31" i="11" s="1"/>
  <c r="AE216" i="11"/>
  <c r="AF208" i="11" s="1"/>
  <c r="AB59" i="11"/>
  <c r="AB63" i="11" s="1"/>
  <c r="AB64" i="11" s="1"/>
  <c r="J27" i="10" l="1"/>
  <c r="I27" i="10"/>
  <c r="AF216" i="11"/>
  <c r="AG208" i="11" s="1"/>
  <c r="H29" i="10"/>
  <c r="AD49" i="11"/>
  <c r="AD54" i="11" s="1"/>
  <c r="D30" i="10"/>
  <c r="AC59" i="11"/>
  <c r="AC63" i="11" s="1"/>
  <c r="AC64" i="11" s="1"/>
  <c r="AC68" i="11"/>
  <c r="AC159" i="11" s="1"/>
  <c r="AE218" i="11"/>
  <c r="AE29" i="11" s="1"/>
  <c r="AE31" i="11" s="1"/>
  <c r="AD59" i="11" l="1"/>
  <c r="AD63" i="11" s="1"/>
  <c r="AD64" i="11" s="1"/>
  <c r="AE49" i="11"/>
  <c r="AE54" i="11" s="1"/>
  <c r="D31" i="10"/>
  <c r="AC171" i="11"/>
  <c r="AC163" i="11"/>
  <c r="H30" i="10"/>
  <c r="AF218" i="11"/>
  <c r="AF29" i="11" s="1"/>
  <c r="AF31" i="11" s="1"/>
  <c r="AG216" i="11"/>
  <c r="AH208" i="11" s="1"/>
  <c r="H31" i="10" l="1"/>
  <c r="AH216" i="11"/>
  <c r="AI208" i="11" s="1"/>
  <c r="K27" i="10"/>
  <c r="AF49" i="11"/>
  <c r="AF54" i="11" s="1"/>
  <c r="D32" i="10"/>
  <c r="AE59" i="11"/>
  <c r="AE63" i="11" s="1"/>
  <c r="AE64" i="11" s="1"/>
  <c r="AG218" i="11"/>
  <c r="AG29" i="11" s="1"/>
  <c r="AG31" i="11" s="1"/>
  <c r="AG49" i="11" l="1"/>
  <c r="AG54" i="11" s="1"/>
  <c r="D33" i="10"/>
  <c r="H33" i="10" s="1"/>
  <c r="H32" i="10"/>
  <c r="R27" i="10"/>
  <c r="M27" i="10"/>
  <c r="AH218" i="11"/>
  <c r="AH29" i="11" s="1"/>
  <c r="AH31" i="11" s="1"/>
  <c r="AF59" i="11"/>
  <c r="AF63" i="11" s="1"/>
  <c r="AF64" i="11" s="1"/>
  <c r="AI216" i="11"/>
  <c r="AJ208" i="11" s="1"/>
  <c r="AJ216" i="11" s="1"/>
  <c r="AJ218" i="11" s="1"/>
  <c r="AJ29" i="11" s="1"/>
  <c r="AJ31" i="11" s="1"/>
  <c r="AJ49" i="11" l="1"/>
  <c r="AJ54" i="11" s="1"/>
  <c r="D36" i="10"/>
  <c r="AG59" i="11"/>
  <c r="AG63" i="11" s="1"/>
  <c r="AG64" i="11" s="1"/>
  <c r="AI218" i="11"/>
  <c r="AI29" i="11" s="1"/>
  <c r="AI31" i="11" s="1"/>
  <c r="D34" i="10"/>
  <c r="AH49" i="11"/>
  <c r="AH54" i="11" s="1"/>
  <c r="AH59" i="11" l="1"/>
  <c r="AH63" i="11" s="1"/>
  <c r="AH64" i="11" s="1"/>
  <c r="AI49" i="11"/>
  <c r="AI54" i="11" s="1"/>
  <c r="D35" i="10"/>
  <c r="H36" i="10"/>
  <c r="H34" i="10"/>
  <c r="AI59" i="11" l="1"/>
  <c r="AI63" i="11" s="1"/>
  <c r="AI64" i="11" s="1"/>
  <c r="H35" i="10"/>
  <c r="I28" i="10" l="1"/>
  <c r="J28" i="10"/>
  <c r="AC172" i="11" l="1"/>
  <c r="AC164" i="11"/>
  <c r="AC167" i="11" s="1"/>
  <c r="AC70" i="11" s="1"/>
  <c r="AB185" i="11"/>
  <c r="K28" i="10"/>
  <c r="AC175" i="11" l="1"/>
  <c r="AC71" i="11" s="1"/>
  <c r="R28" i="10"/>
  <c r="M28" i="10"/>
  <c r="I29" i="10"/>
  <c r="AC74" i="11" l="1"/>
  <c r="J29" i="10"/>
  <c r="L29" i="10" l="1"/>
  <c r="AC73" i="11"/>
  <c r="I30" i="10"/>
  <c r="J30" i="10"/>
  <c r="AD185" i="11" l="1"/>
  <c r="K30" i="10"/>
  <c r="AC185" i="11"/>
  <c r="K29" i="10"/>
  <c r="AC77" i="11"/>
  <c r="R29" i="10" l="1"/>
  <c r="M29" i="10"/>
  <c r="R30" i="10"/>
  <c r="M30" i="10"/>
  <c r="I31" i="10"/>
  <c r="J31" i="10" l="1"/>
  <c r="I32" i="10" l="1"/>
  <c r="L31" i="10"/>
  <c r="J32" i="10"/>
  <c r="AE185" i="11" l="1"/>
  <c r="K31" i="10"/>
  <c r="AF185" i="11"/>
  <c r="K32" i="10"/>
  <c r="I33" i="10" l="1"/>
  <c r="R31" i="10"/>
  <c r="M31" i="10"/>
  <c r="R32" i="10"/>
  <c r="M32" i="10"/>
  <c r="J33" i="10" l="1"/>
  <c r="J34" i="10" l="1"/>
  <c r="L33" i="10"/>
  <c r="I34" i="10"/>
  <c r="AG185" i="11" l="1"/>
  <c r="K33" i="10"/>
  <c r="AH185" i="11"/>
  <c r="K34" i="10"/>
  <c r="R34" i="10" l="1"/>
  <c r="M34" i="10"/>
  <c r="I35" i="10"/>
  <c r="R33" i="10"/>
  <c r="M33" i="10"/>
  <c r="J35" i="10" l="1"/>
  <c r="J36" i="10" l="1"/>
  <c r="L35" i="10"/>
  <c r="I36" i="10"/>
  <c r="AI185" i="11" l="1"/>
  <c r="K35" i="10"/>
  <c r="AJ185" i="11"/>
  <c r="K36" i="10"/>
  <c r="R35" i="10" l="1"/>
  <c r="M35" i="10"/>
  <c r="R36" i="10"/>
  <c r="M36" i="10"/>
  <c r="AI152" i="11" l="1"/>
  <c r="AI67" i="11" s="1"/>
  <c r="AI68" i="11" s="1"/>
  <c r="AJ210" i="11"/>
  <c r="AJ219" i="11" s="1"/>
  <c r="AJ57" i="11" s="1"/>
  <c r="AJ59" i="11" s="1"/>
  <c r="AJ63" i="11" s="1"/>
  <c r="AJ64" i="11" s="1"/>
  <c r="AJ152" i="11"/>
  <c r="AJ67" i="11" s="1"/>
  <c r="AJ68" i="11" s="1"/>
  <c r="L36" i="10"/>
  <c r="AG152" i="11"/>
  <c r="AG67" i="11" s="1"/>
  <c r="AG68" i="11" s="1"/>
  <c r="AH152" i="11"/>
  <c r="AH67" i="11" s="1"/>
  <c r="AH68" i="11" s="1"/>
  <c r="L34" i="10"/>
  <c r="AE152" i="11"/>
  <c r="AE67" i="11" s="1"/>
  <c r="AE68" i="11" s="1"/>
  <c r="AF152" i="11"/>
  <c r="AF67" i="11" s="1"/>
  <c r="AF68" i="11" s="1"/>
  <c r="L32" i="10"/>
  <c r="AD152" i="11"/>
  <c r="AD67" i="11" s="1"/>
  <c r="AD68" i="11" s="1"/>
  <c r="L30" i="10"/>
  <c r="AB152" i="11"/>
  <c r="AB67" i="11" s="1"/>
  <c r="AB68" i="11" s="1"/>
  <c r="L28" i="10"/>
  <c r="AA152" i="11"/>
  <c r="AA67" i="11" s="1"/>
  <c r="L27" i="10"/>
  <c r="O36" i="10"/>
  <c r="O35" i="10"/>
  <c r="O33" i="10"/>
  <c r="O34" i="10"/>
  <c r="O32" i="10"/>
  <c r="O31" i="10"/>
  <c r="O29" i="10"/>
  <c r="O30" i="10"/>
  <c r="O28" i="10"/>
  <c r="O27" i="10"/>
  <c r="AA154" i="11"/>
  <c r="AE154" i="11" l="1"/>
  <c r="AH154" i="11"/>
  <c r="AD154" i="11"/>
  <c r="AG154" i="11"/>
  <c r="AJ154" i="11"/>
  <c r="AI154" i="11"/>
  <c r="AF154" i="11"/>
  <c r="AB154" i="11"/>
  <c r="AF71" i="11"/>
  <c r="AF74" i="11" s="1"/>
  <c r="AF70" i="11"/>
  <c r="AF159" i="11"/>
  <c r="AJ70" i="11"/>
  <c r="AJ71" i="11"/>
  <c r="AJ74" i="11" s="1"/>
  <c r="AJ159" i="11"/>
  <c r="AI70" i="11"/>
  <c r="AI71" i="11"/>
  <c r="AI74" i="11" s="1"/>
  <c r="AI159" i="11"/>
  <c r="AB71" i="11"/>
  <c r="AB74" i="11" s="1"/>
  <c r="AB70" i="11"/>
  <c r="AB159" i="11"/>
  <c r="AD70" i="11"/>
  <c r="AD71" i="11"/>
  <c r="AD74" i="11" s="1"/>
  <c r="AD159" i="11"/>
  <c r="AE71" i="11"/>
  <c r="AE74" i="11" s="1"/>
  <c r="AE159" i="11"/>
  <c r="AE70" i="11"/>
  <c r="AH70" i="11"/>
  <c r="AH159" i="11"/>
  <c r="AH71" i="11"/>
  <c r="AH74" i="11" s="1"/>
  <c r="AG70" i="11"/>
  <c r="AG159" i="11"/>
  <c r="AG71" i="11"/>
  <c r="AG74" i="11" s="1"/>
  <c r="AE73" i="11" l="1"/>
  <c r="AE77" i="11" s="1"/>
  <c r="AD73" i="11"/>
  <c r="AD77" i="11" s="1"/>
  <c r="AB73" i="11"/>
  <c r="AB77" i="11" s="1"/>
  <c r="AJ73" i="11"/>
  <c r="AJ77" i="11" s="1"/>
  <c r="AF73" i="11"/>
  <c r="AF77" i="11" s="1"/>
  <c r="AH171" i="11"/>
  <c r="AH164" i="11"/>
  <c r="AH172" i="11"/>
  <c r="AH163" i="11"/>
  <c r="AB164" i="11"/>
  <c r="AB171" i="11"/>
  <c r="AB163" i="11"/>
  <c r="AB172" i="11"/>
  <c r="AI171" i="11"/>
  <c r="AI163" i="11"/>
  <c r="AI172" i="11"/>
  <c r="AI164" i="11"/>
  <c r="AF164" i="11"/>
  <c r="AF171" i="11"/>
  <c r="AF163" i="11"/>
  <c r="AF172" i="11"/>
  <c r="AG73" i="11"/>
  <c r="AG77" i="11" s="1"/>
  <c r="AI73" i="11"/>
  <c r="AI77" i="11" s="1"/>
  <c r="AG172" i="11"/>
  <c r="AG164" i="11"/>
  <c r="AG171" i="11"/>
  <c r="AG163" i="11"/>
  <c r="AE172" i="11"/>
  <c r="AE164" i="11"/>
  <c r="AE171" i="11"/>
  <c r="AE163" i="11"/>
  <c r="AD172" i="11"/>
  <c r="AD163" i="11"/>
  <c r="AD171" i="11"/>
  <c r="AD164" i="11"/>
  <c r="AJ172" i="11"/>
  <c r="AJ163" i="11"/>
  <c r="AJ171" i="11"/>
  <c r="AJ164" i="11"/>
  <c r="AH73" i="11"/>
  <c r="AH77" i="11" s="1"/>
  <c r="AE167" i="11" l="1"/>
  <c r="AB167" i="11"/>
  <c r="AJ175" i="11"/>
  <c r="AG167" i="11"/>
  <c r="AD175" i="11"/>
  <c r="AH175" i="11"/>
  <c r="AF167" i="11"/>
  <c r="AI175" i="11"/>
  <c r="AE175" i="11"/>
  <c r="AG175" i="11"/>
  <c r="AH167" i="11"/>
  <c r="AD167" i="11"/>
  <c r="AI167" i="11"/>
  <c r="AJ167" i="11"/>
  <c r="AB175" i="11"/>
  <c r="AF175" i="11"/>
  <c r="T97" i="11" l="1"/>
  <c r="T56" i="11" s="1"/>
  <c r="U97" i="11"/>
  <c r="U96" i="11"/>
  <c r="T102" i="11" l="1"/>
  <c r="U56" i="11"/>
  <c r="U102" i="11"/>
  <c r="U53" i="11"/>
  <c r="U95" i="11"/>
  <c r="F21" i="10" s="1"/>
  <c r="V209" i="11" l="1"/>
  <c r="V219" i="11" s="1"/>
  <c r="V57" i="11" s="1"/>
  <c r="G22" i="10" s="1"/>
  <c r="T96" i="11" l="1"/>
  <c r="T53" i="11" l="1"/>
  <c r="T95" i="11"/>
  <c r="F20" i="10" s="1"/>
  <c r="T51" i="11" l="1"/>
  <c r="U51" i="11" l="1"/>
  <c r="P21" i="10" s="1"/>
  <c r="P20" i="10"/>
  <c r="D121" i="12" l="1"/>
  <c r="G29" i="7" l="1"/>
  <c r="G30" i="7" l="1"/>
  <c r="C113" i="11" s="1"/>
  <c r="C115" i="11" l="1"/>
  <c r="C114" i="11"/>
  <c r="C116" i="11"/>
  <c r="C109" i="11"/>
  <c r="G193" i="11" s="1"/>
  <c r="G196" i="11" s="1"/>
  <c r="G76" i="11" s="1"/>
  <c r="C111" i="11"/>
  <c r="C112" i="11"/>
  <c r="C110" i="11"/>
  <c r="F90" i="11"/>
  <c r="F92" i="11" s="1"/>
  <c r="F62" i="11" s="1"/>
  <c r="G41" i="7"/>
  <c r="C118" i="11"/>
  <c r="G180" i="11"/>
  <c r="O180" i="11"/>
  <c r="O182" i="11" s="1"/>
  <c r="O75" i="11" s="1"/>
  <c r="L180" i="11"/>
  <c r="L182" i="11" s="1"/>
  <c r="L75" i="11" s="1"/>
  <c r="K180" i="11"/>
  <c r="K182" i="11" s="1"/>
  <c r="K75" i="11" s="1"/>
  <c r="H180" i="11"/>
  <c r="H182" i="11" s="1"/>
  <c r="H75" i="11" s="1"/>
  <c r="G31" i="7"/>
  <c r="M180" i="11"/>
  <c r="M182" i="11" s="1"/>
  <c r="M75" i="11" s="1"/>
  <c r="J180" i="11"/>
  <c r="J182" i="11" s="1"/>
  <c r="J75" i="11" s="1"/>
  <c r="D29" i="9"/>
  <c r="D30" i="9" s="1"/>
  <c r="P180" i="11"/>
  <c r="P182" i="11" s="1"/>
  <c r="P75" i="11" s="1"/>
  <c r="I180" i="11"/>
  <c r="I182" i="11" s="1"/>
  <c r="I75" i="11" s="1"/>
  <c r="N180" i="11"/>
  <c r="N182" i="11" s="1"/>
  <c r="N75" i="11" s="1"/>
  <c r="Q42" i="7" l="1"/>
  <c r="Q28" i="7"/>
  <c r="G179" i="11" s="1"/>
  <c r="G182" i="11" s="1"/>
  <c r="G75" i="11" s="1"/>
  <c r="C120" i="11"/>
  <c r="D113" i="11" s="1"/>
  <c r="M97" i="11"/>
  <c r="R96" i="11"/>
  <c r="N96" i="11"/>
  <c r="I97" i="11"/>
  <c r="G73" i="7"/>
  <c r="P96" i="11"/>
  <c r="R97" i="11"/>
  <c r="H96" i="11"/>
  <c r="S96" i="11"/>
  <c r="H97" i="11"/>
  <c r="L97" i="11"/>
  <c r="K97" i="11"/>
  <c r="O97" i="11"/>
  <c r="M96" i="11"/>
  <c r="J96" i="11"/>
  <c r="P97" i="11"/>
  <c r="F101" i="11"/>
  <c r="F103" i="11" s="1"/>
  <c r="G100" i="11" s="1"/>
  <c r="L96" i="11"/>
  <c r="G97" i="11"/>
  <c r="I96" i="11"/>
  <c r="Q97" i="11"/>
  <c r="G96" i="11"/>
  <c r="J97" i="11"/>
  <c r="N97" i="11"/>
  <c r="S97" i="11"/>
  <c r="O96" i="11"/>
  <c r="Q96" i="11"/>
  <c r="K96" i="11"/>
  <c r="G39" i="11"/>
  <c r="G45" i="11" s="1"/>
  <c r="Y39" i="11"/>
  <c r="Y45" i="11" s="1"/>
  <c r="W39" i="11"/>
  <c r="W45" i="11" s="1"/>
  <c r="U39" i="11"/>
  <c r="U45" i="11" s="1"/>
  <c r="K39" i="11"/>
  <c r="K45" i="11" s="1"/>
  <c r="P39" i="11"/>
  <c r="P45" i="11" s="1"/>
  <c r="V39" i="11"/>
  <c r="V45" i="11" s="1"/>
  <c r="M39" i="11"/>
  <c r="M45" i="11" s="1"/>
  <c r="J39" i="11"/>
  <c r="J45" i="11" s="1"/>
  <c r="X39" i="11"/>
  <c r="X45" i="11" s="1"/>
  <c r="I39" i="11"/>
  <c r="I45" i="11" s="1"/>
  <c r="Q39" i="11"/>
  <c r="Q45" i="11" s="1"/>
  <c r="O39" i="11"/>
  <c r="O45" i="11" s="1"/>
  <c r="L39" i="11"/>
  <c r="L45" i="11" s="1"/>
  <c r="S39" i="11"/>
  <c r="S45" i="11" s="1"/>
  <c r="R39" i="11"/>
  <c r="R45" i="11" s="1"/>
  <c r="N39" i="11"/>
  <c r="N45" i="11" s="1"/>
  <c r="T39" i="11"/>
  <c r="T45" i="11" s="1"/>
  <c r="H39" i="11"/>
  <c r="H45" i="11" s="1"/>
  <c r="Z39" i="11"/>
  <c r="Z45" i="11" s="1"/>
  <c r="G74" i="7"/>
  <c r="F64" i="11"/>
  <c r="F77" i="11" s="1"/>
  <c r="M6" i="10" s="1"/>
  <c r="N6" i="10" s="1"/>
  <c r="D109" i="11" l="1"/>
  <c r="C122" i="11"/>
  <c r="E113" i="11" s="1"/>
  <c r="D115" i="11"/>
  <c r="D116" i="11"/>
  <c r="D114" i="11"/>
  <c r="D118" i="11"/>
  <c r="D110" i="11"/>
  <c r="D111" i="11"/>
  <c r="C121" i="11"/>
  <c r="D112" i="11"/>
  <c r="E26" i="10"/>
  <c r="Z47" i="11"/>
  <c r="Z46" i="11"/>
  <c r="H47" i="11"/>
  <c r="H46" i="11"/>
  <c r="E8" i="10"/>
  <c r="N46" i="11"/>
  <c r="N47" i="11"/>
  <c r="E14" i="10"/>
  <c r="E19" i="10"/>
  <c r="S46" i="11"/>
  <c r="S47" i="11"/>
  <c r="E15" i="10"/>
  <c r="O47" i="11"/>
  <c r="O46" i="11"/>
  <c r="I46" i="11"/>
  <c r="E9" i="10"/>
  <c r="I47" i="11"/>
  <c r="J47" i="11"/>
  <c r="J46" i="11"/>
  <c r="E10" i="10"/>
  <c r="E22" i="10"/>
  <c r="S22" i="10" s="1"/>
  <c r="V47" i="11"/>
  <c r="V46" i="11"/>
  <c r="E11" i="10"/>
  <c r="K46" i="11"/>
  <c r="K47" i="11"/>
  <c r="W47" i="11"/>
  <c r="W46" i="11"/>
  <c r="E23" i="10"/>
  <c r="S23" i="10" s="1"/>
  <c r="E7" i="10"/>
  <c r="G47" i="11"/>
  <c r="D38" i="9" s="1"/>
  <c r="G46" i="11"/>
  <c r="Q53" i="11"/>
  <c r="Q95" i="11"/>
  <c r="F17" i="10" s="1"/>
  <c r="S102" i="11"/>
  <c r="S56" i="11"/>
  <c r="J102" i="11"/>
  <c r="J56" i="11"/>
  <c r="Q102" i="11"/>
  <c r="Q56" i="11"/>
  <c r="G56" i="11"/>
  <c r="G102" i="11"/>
  <c r="G103" i="11" s="1"/>
  <c r="H100" i="11" s="1"/>
  <c r="J53" i="11"/>
  <c r="J95" i="11"/>
  <c r="F10" i="10" s="1"/>
  <c r="O102" i="11"/>
  <c r="O56" i="11"/>
  <c r="L102" i="11"/>
  <c r="L56" i="11"/>
  <c r="S53" i="11"/>
  <c r="S95" i="11"/>
  <c r="F19" i="10" s="1"/>
  <c r="R102" i="11"/>
  <c r="R56" i="11"/>
  <c r="N95" i="11"/>
  <c r="F14" i="10" s="1"/>
  <c r="N53" i="11"/>
  <c r="M102" i="11"/>
  <c r="M56" i="11"/>
  <c r="E20" i="10"/>
  <c r="T46" i="11"/>
  <c r="T47" i="11"/>
  <c r="R47" i="11"/>
  <c r="R46" i="11"/>
  <c r="E18" i="10"/>
  <c r="L47" i="11"/>
  <c r="E12" i="10"/>
  <c r="L46" i="11"/>
  <c r="Q46" i="11"/>
  <c r="E17" i="10"/>
  <c r="Q47" i="11"/>
  <c r="X47" i="11"/>
  <c r="E24" i="10"/>
  <c r="S24" i="10" s="1"/>
  <c r="X46" i="11"/>
  <c r="M46" i="11"/>
  <c r="E13" i="10"/>
  <c r="M47" i="11"/>
  <c r="P46" i="11"/>
  <c r="P47" i="11"/>
  <c r="E16" i="10"/>
  <c r="U46" i="11"/>
  <c r="U47" i="11"/>
  <c r="E21" i="10"/>
  <c r="S21" i="10" s="1"/>
  <c r="Y46" i="11"/>
  <c r="Y47" i="11"/>
  <c r="E25" i="10"/>
  <c r="S25" i="10" s="1"/>
  <c r="K53" i="11"/>
  <c r="K95" i="11"/>
  <c r="F11" i="10" s="1"/>
  <c r="O53" i="11"/>
  <c r="O95" i="11"/>
  <c r="F15" i="10" s="1"/>
  <c r="N56" i="11"/>
  <c r="N102" i="11"/>
  <c r="G53" i="11"/>
  <c r="G95" i="11"/>
  <c r="I53" i="11"/>
  <c r="I95" i="11"/>
  <c r="F9" i="10" s="1"/>
  <c r="L95" i="11"/>
  <c r="F12" i="10" s="1"/>
  <c r="L53" i="11"/>
  <c r="P56" i="11"/>
  <c r="P102" i="11"/>
  <c r="M53" i="11"/>
  <c r="M95" i="11"/>
  <c r="F13" i="10" s="1"/>
  <c r="K56" i="11"/>
  <c r="K102" i="11"/>
  <c r="H102" i="11"/>
  <c r="H56" i="11"/>
  <c r="H53" i="11"/>
  <c r="H95" i="11"/>
  <c r="F8" i="10" s="1"/>
  <c r="S8" i="10" s="1"/>
  <c r="P53" i="11"/>
  <c r="P95" i="11"/>
  <c r="F16" i="10" s="1"/>
  <c r="I56" i="11"/>
  <c r="I102" i="11"/>
  <c r="R53" i="11"/>
  <c r="R95" i="11"/>
  <c r="F18" i="10" s="1"/>
  <c r="G76" i="7"/>
  <c r="E109" i="11" l="1"/>
  <c r="M126" i="11" s="1"/>
  <c r="E118" i="11"/>
  <c r="E135" i="11" s="1"/>
  <c r="K130" i="11"/>
  <c r="AD130" i="11"/>
  <c r="AE130" i="11"/>
  <c r="O130" i="11"/>
  <c r="R130" i="11"/>
  <c r="E110" i="11"/>
  <c r="M127" i="11" s="1"/>
  <c r="E117" i="11"/>
  <c r="G134" i="11" s="1"/>
  <c r="E115" i="11"/>
  <c r="K132" i="11" s="1"/>
  <c r="E114" i="11"/>
  <c r="X131" i="11" s="1"/>
  <c r="E112" i="11"/>
  <c r="L129" i="11" s="1"/>
  <c r="E111" i="11"/>
  <c r="H128" i="11" s="1"/>
  <c r="E116" i="11"/>
  <c r="AI133" i="11" s="1"/>
  <c r="S12" i="10"/>
  <c r="H129" i="11"/>
  <c r="D120" i="11"/>
  <c r="D121" i="11" s="1"/>
  <c r="AI130" i="11"/>
  <c r="H130" i="11"/>
  <c r="W130" i="11"/>
  <c r="S130" i="11"/>
  <c r="AB130" i="11"/>
  <c r="Z130" i="11"/>
  <c r="AJ130" i="11"/>
  <c r="AG130" i="11"/>
  <c r="T130" i="11"/>
  <c r="V130" i="11"/>
  <c r="J130" i="11"/>
  <c r="AC130" i="11"/>
  <c r="AF130" i="11"/>
  <c r="X130" i="11"/>
  <c r="G130" i="11"/>
  <c r="N130" i="11"/>
  <c r="AA130" i="11"/>
  <c r="Y130" i="11"/>
  <c r="M130" i="11"/>
  <c r="AH130" i="11"/>
  <c r="I130" i="11"/>
  <c r="L130" i="11"/>
  <c r="Q130" i="11"/>
  <c r="P130" i="11"/>
  <c r="U130" i="11"/>
  <c r="S17" i="10"/>
  <c r="S14" i="10"/>
  <c r="S18" i="10"/>
  <c r="H103" i="11"/>
  <c r="I100" i="11" s="1"/>
  <c r="I103" i="11" s="1"/>
  <c r="J100" i="11" s="1"/>
  <c r="J103" i="11" s="1"/>
  <c r="K100" i="11" s="1"/>
  <c r="K103" i="11" s="1"/>
  <c r="L100" i="11" s="1"/>
  <c r="L103" i="11" s="1"/>
  <c r="M100" i="11" s="1"/>
  <c r="M103" i="11" s="1"/>
  <c r="N100" i="11" s="1"/>
  <c r="N103" i="11" s="1"/>
  <c r="O100" i="11" s="1"/>
  <c r="O103" i="11" s="1"/>
  <c r="P100" i="11" s="1"/>
  <c r="P103" i="11" s="1"/>
  <c r="Q100" i="11" s="1"/>
  <c r="Q103" i="11" s="1"/>
  <c r="R100" i="11" s="1"/>
  <c r="R103" i="11" s="1"/>
  <c r="S100" i="11" s="1"/>
  <c r="S103" i="11" s="1"/>
  <c r="T100" i="11" s="1"/>
  <c r="T103" i="11" s="1"/>
  <c r="U100" i="11" s="1"/>
  <c r="U103" i="11" s="1"/>
  <c r="V100" i="11" s="1"/>
  <c r="V103" i="11" s="1"/>
  <c r="W100" i="11" s="1"/>
  <c r="W103" i="11" s="1"/>
  <c r="X100" i="11" s="1"/>
  <c r="X103" i="11" s="1"/>
  <c r="Y100" i="11" s="1"/>
  <c r="Y103" i="11" s="1"/>
  <c r="Z100" i="11" s="1"/>
  <c r="Z103" i="11" s="1"/>
  <c r="AA100" i="11" s="1"/>
  <c r="AA103" i="11" s="1"/>
  <c r="AB100" i="11" s="1"/>
  <c r="AB103" i="11" s="1"/>
  <c r="AC100" i="11" s="1"/>
  <c r="AC103" i="11" s="1"/>
  <c r="AD100" i="11" s="1"/>
  <c r="AD103" i="11" s="1"/>
  <c r="AE100" i="11" s="1"/>
  <c r="AE103" i="11" s="1"/>
  <c r="AF100" i="11" s="1"/>
  <c r="AF103" i="11" s="1"/>
  <c r="AG100" i="11" s="1"/>
  <c r="AG103" i="11" s="1"/>
  <c r="AH100" i="11" s="1"/>
  <c r="AH103" i="11" s="1"/>
  <c r="AI100" i="11" s="1"/>
  <c r="AI103" i="11" s="1"/>
  <c r="AJ100" i="11" s="1"/>
  <c r="AJ103" i="11" s="1"/>
  <c r="Q76" i="7"/>
  <c r="F210" i="11" s="1"/>
  <c r="Z210" i="11" s="1"/>
  <c r="Z219" i="11" s="1"/>
  <c r="Z57" i="11" s="1"/>
  <c r="G26" i="10" s="1"/>
  <c r="S26" i="10" s="1"/>
  <c r="S11" i="10"/>
  <c r="S10" i="10"/>
  <c r="S9" i="10"/>
  <c r="S15" i="10"/>
  <c r="F7" i="10"/>
  <c r="S7" i="10" s="1"/>
  <c r="Q73" i="7"/>
  <c r="S16" i="10"/>
  <c r="S13" i="10"/>
  <c r="S19" i="10"/>
  <c r="F73" i="7"/>
  <c r="F75" i="7"/>
  <c r="F74" i="7"/>
  <c r="I127" i="11" l="1"/>
  <c r="K127" i="11"/>
  <c r="X127" i="11"/>
  <c r="AB127" i="11"/>
  <c r="AJ127" i="11"/>
  <c r="AI127" i="11"/>
  <c r="AC127" i="11"/>
  <c r="Q127" i="11"/>
  <c r="J127" i="11"/>
  <c r="R127" i="11"/>
  <c r="R129" i="11"/>
  <c r="Y129" i="11"/>
  <c r="H127" i="11"/>
  <c r="N127" i="11"/>
  <c r="P127" i="11"/>
  <c r="S127" i="11"/>
  <c r="AF127" i="11"/>
  <c r="O129" i="11"/>
  <c r="O127" i="11"/>
  <c r="AA127" i="11"/>
  <c r="Y127" i="11"/>
  <c r="Z127" i="11"/>
  <c r="AG127" i="11"/>
  <c r="U127" i="11"/>
  <c r="AI129" i="11"/>
  <c r="G129" i="11"/>
  <c r="AD126" i="11"/>
  <c r="AA134" i="11"/>
  <c r="AF129" i="11"/>
  <c r="Q129" i="11"/>
  <c r="S129" i="11"/>
  <c r="U129" i="11"/>
  <c r="AA129" i="11"/>
  <c r="AE127" i="11"/>
  <c r="G127" i="11"/>
  <c r="AH127" i="11"/>
  <c r="T127" i="11"/>
  <c r="V127" i="11"/>
  <c r="W127" i="11"/>
  <c r="L127" i="11"/>
  <c r="AD127" i="11"/>
  <c r="AG129" i="11"/>
  <c r="W129" i="11"/>
  <c r="J129" i="11"/>
  <c r="N129" i="11"/>
  <c r="I129" i="11"/>
  <c r="AB129" i="11"/>
  <c r="AD129" i="11"/>
  <c r="T129" i="11"/>
  <c r="K129" i="11"/>
  <c r="AC129" i="11"/>
  <c r="Y131" i="11"/>
  <c r="K131" i="11"/>
  <c r="AI131" i="11"/>
  <c r="W131" i="11"/>
  <c r="AD131" i="11"/>
  <c r="AG131" i="11"/>
  <c r="AB131" i="11"/>
  <c r="G131" i="11"/>
  <c r="AJ131" i="11"/>
  <c r="S131" i="11"/>
  <c r="N131" i="11"/>
  <c r="R133" i="11"/>
  <c r="AF126" i="11"/>
  <c r="N126" i="11"/>
  <c r="Z126" i="11"/>
  <c r="M128" i="11"/>
  <c r="M133" i="11"/>
  <c r="AE132" i="11"/>
  <c r="AC133" i="11"/>
  <c r="AD133" i="11"/>
  <c r="R126" i="11"/>
  <c r="H126" i="11"/>
  <c r="AG132" i="11"/>
  <c r="M129" i="11"/>
  <c r="X129" i="11"/>
  <c r="Z129" i="11"/>
  <c r="AH129" i="11"/>
  <c r="AE129" i="11"/>
  <c r="P129" i="11"/>
  <c r="X132" i="11"/>
  <c r="W132" i="11"/>
  <c r="Y132" i="11"/>
  <c r="AA133" i="11"/>
  <c r="AD132" i="11"/>
  <c r="H133" i="11"/>
  <c r="AH132" i="11"/>
  <c r="V129" i="11"/>
  <c r="S126" i="11"/>
  <c r="J126" i="11"/>
  <c r="AE128" i="11"/>
  <c r="N128" i="11"/>
  <c r="AJ134" i="11"/>
  <c r="P126" i="11"/>
  <c r="U126" i="11"/>
  <c r="X128" i="11"/>
  <c r="S128" i="11"/>
  <c r="K128" i="11"/>
  <c r="Q134" i="11"/>
  <c r="H134" i="11"/>
  <c r="V134" i="11"/>
  <c r="P134" i="11"/>
  <c r="J134" i="11"/>
  <c r="AJ126" i="11"/>
  <c r="Y126" i="11"/>
  <c r="K126" i="11"/>
  <c r="X126" i="11"/>
  <c r="V126" i="11"/>
  <c r="AC126" i="11"/>
  <c r="AE126" i="11"/>
  <c r="I126" i="11"/>
  <c r="P128" i="11"/>
  <c r="L128" i="11"/>
  <c r="Q128" i="11"/>
  <c r="U128" i="11"/>
  <c r="AD128" i="11"/>
  <c r="AI128" i="11"/>
  <c r="T128" i="11"/>
  <c r="Z134" i="11"/>
  <c r="I134" i="11"/>
  <c r="AG134" i="11"/>
  <c r="T134" i="11"/>
  <c r="U134" i="11"/>
  <c r="Y134" i="11"/>
  <c r="O134" i="11"/>
  <c r="AI126" i="11"/>
  <c r="O126" i="11"/>
  <c r="AJ128" i="11"/>
  <c r="AB128" i="11"/>
  <c r="Y128" i="11"/>
  <c r="AC128" i="11"/>
  <c r="AG128" i="11"/>
  <c r="Z128" i="11"/>
  <c r="AA128" i="11"/>
  <c r="AF134" i="11"/>
  <c r="AD134" i="11"/>
  <c r="AH134" i="11"/>
  <c r="R134" i="11"/>
  <c r="L134" i="11"/>
  <c r="AI134" i="11"/>
  <c r="M134" i="11"/>
  <c r="AH126" i="11"/>
  <c r="AB126" i="11"/>
  <c r="AA126" i="11"/>
  <c r="W128" i="11"/>
  <c r="L126" i="11"/>
  <c r="T126" i="11"/>
  <c r="Q126" i="11"/>
  <c r="W126" i="11"/>
  <c r="AG126" i="11"/>
  <c r="G126" i="11"/>
  <c r="AH128" i="11"/>
  <c r="R128" i="11"/>
  <c r="G128" i="11"/>
  <c r="J128" i="11"/>
  <c r="V128" i="11"/>
  <c r="AF128" i="11"/>
  <c r="I128" i="11"/>
  <c r="O128" i="11"/>
  <c r="W134" i="11"/>
  <c r="N134" i="11"/>
  <c r="AC134" i="11"/>
  <c r="AE134" i="11"/>
  <c r="X134" i="11"/>
  <c r="AB134" i="11"/>
  <c r="S134" i="11"/>
  <c r="K134" i="11"/>
  <c r="AC132" i="11"/>
  <c r="W133" i="11"/>
  <c r="J133" i="11"/>
  <c r="X133" i="11"/>
  <c r="AJ133" i="11"/>
  <c r="P132" i="11"/>
  <c r="U132" i="11"/>
  <c r="Z132" i="11"/>
  <c r="AE133" i="11"/>
  <c r="J132" i="11"/>
  <c r="T133" i="11"/>
  <c r="AF133" i="11"/>
  <c r="G133" i="11"/>
  <c r="K133" i="11"/>
  <c r="S133" i="11"/>
  <c r="AG133" i="11"/>
  <c r="AF132" i="11"/>
  <c r="R132" i="11"/>
  <c r="L132" i="11"/>
  <c r="M132" i="11"/>
  <c r="O132" i="11"/>
  <c r="V132" i="11"/>
  <c r="P133" i="11"/>
  <c r="AI132" i="11"/>
  <c r="AB132" i="11"/>
  <c r="Q132" i="11"/>
  <c r="L133" i="11"/>
  <c r="E120" i="11"/>
  <c r="E121" i="11" s="1"/>
  <c r="AA132" i="11"/>
  <c r="AJ132" i="11"/>
  <c r="H132" i="11"/>
  <c r="Z133" i="11"/>
  <c r="N133" i="11"/>
  <c r="U133" i="11"/>
  <c r="I133" i="11"/>
  <c r="V133" i="11"/>
  <c r="AH133" i="11"/>
  <c r="O133" i="11"/>
  <c r="Q133" i="11"/>
  <c r="AB133" i="11"/>
  <c r="Y133" i="11"/>
  <c r="N132" i="11"/>
  <c r="S132" i="11"/>
  <c r="I132" i="11"/>
  <c r="T132" i="11"/>
  <c r="G132" i="11"/>
  <c r="AJ129" i="11"/>
  <c r="I131" i="11"/>
  <c r="AC131" i="11"/>
  <c r="M131" i="11"/>
  <c r="U131" i="11"/>
  <c r="V131" i="11"/>
  <c r="Q131" i="11"/>
  <c r="AA131" i="11"/>
  <c r="P131" i="11"/>
  <c r="H131" i="11"/>
  <c r="L131" i="11"/>
  <c r="J131" i="11"/>
  <c r="R131" i="11"/>
  <c r="AF131" i="11"/>
  <c r="Z131" i="11"/>
  <c r="O131" i="11"/>
  <c r="AH131" i="11"/>
  <c r="T131" i="11"/>
  <c r="AE131" i="11"/>
  <c r="E130" i="11"/>
  <c r="G28" i="7"/>
  <c r="C109" i="12"/>
  <c r="F209" i="11"/>
  <c r="G69" i="7"/>
  <c r="E127" i="11" l="1"/>
  <c r="J152" i="11"/>
  <c r="J154" i="11" s="1"/>
  <c r="U152" i="11"/>
  <c r="U67" i="11" s="1"/>
  <c r="K152" i="11"/>
  <c r="K154" i="11" s="1"/>
  <c r="Z152" i="11"/>
  <c r="Z67" i="11" s="1"/>
  <c r="L152" i="11"/>
  <c r="L154" i="11" s="1"/>
  <c r="R152" i="11"/>
  <c r="R154" i="11" s="1"/>
  <c r="V152" i="11"/>
  <c r="V67" i="11" s="1"/>
  <c r="M152" i="11"/>
  <c r="M154" i="11" s="1"/>
  <c r="E129" i="11"/>
  <c r="G152" i="11"/>
  <c r="G67" i="11" s="1"/>
  <c r="P152" i="11"/>
  <c r="P154" i="11" s="1"/>
  <c r="X152" i="11"/>
  <c r="X67" i="11" s="1"/>
  <c r="W152" i="11"/>
  <c r="W154" i="11" s="1"/>
  <c r="H152" i="11"/>
  <c r="H154" i="11" s="1"/>
  <c r="S152" i="11"/>
  <c r="S67" i="11" s="1"/>
  <c r="E126" i="11"/>
  <c r="Q152" i="11"/>
  <c r="Q67" i="11" s="1"/>
  <c r="T152" i="11"/>
  <c r="T67" i="11" s="1"/>
  <c r="Y152" i="11"/>
  <c r="Y67" i="11" s="1"/>
  <c r="N152" i="11"/>
  <c r="N67" i="11" s="1"/>
  <c r="E133" i="11"/>
  <c r="E134" i="11"/>
  <c r="E128" i="11"/>
  <c r="E132" i="11"/>
  <c r="O152" i="11"/>
  <c r="O67" i="11" s="1"/>
  <c r="I152" i="11"/>
  <c r="I154" i="11" s="1"/>
  <c r="E131" i="11"/>
  <c r="T209" i="11"/>
  <c r="T219" i="11" s="1"/>
  <c r="T57" i="11" s="1"/>
  <c r="G20" i="10" s="1"/>
  <c r="S20" i="10" s="1"/>
  <c r="F216" i="11"/>
  <c r="G208" i="11" s="1"/>
  <c r="C110" i="12"/>
  <c r="C120" i="12" s="1"/>
  <c r="C121" i="12" s="1"/>
  <c r="N120" i="12"/>
  <c r="N121" i="12" s="1"/>
  <c r="G154" i="11" l="1"/>
  <c r="R67" i="11"/>
  <c r="J67" i="11"/>
  <c r="U154" i="11"/>
  <c r="H67" i="11"/>
  <c r="K67" i="11"/>
  <c r="D110" i="12"/>
  <c r="D120" i="12" s="1"/>
  <c r="W67" i="11"/>
  <c r="L67" i="11"/>
  <c r="M67" i="11"/>
  <c r="Z154" i="11"/>
  <c r="X154" i="11"/>
  <c r="V154" i="11"/>
  <c r="Y154" i="11"/>
  <c r="S154" i="11"/>
  <c r="P67" i="11"/>
  <c r="T154" i="11"/>
  <c r="I67" i="11"/>
  <c r="E136" i="11"/>
  <c r="F136" i="11" s="1"/>
  <c r="N154" i="11"/>
  <c r="Q154" i="11"/>
  <c r="O154" i="11"/>
  <c r="G216" i="11"/>
  <c r="H208" i="11" s="1"/>
  <c r="G218" i="11" l="1"/>
  <c r="G29" i="11" s="1"/>
  <c r="G31" i="11" s="1"/>
  <c r="G49" i="11" s="1"/>
  <c r="H216" i="11"/>
  <c r="I208" i="11" s="1"/>
  <c r="D7" i="10" l="1"/>
  <c r="H7" i="10" s="1"/>
  <c r="H218" i="11"/>
  <c r="H29" i="11" s="1"/>
  <c r="H31" i="11" s="1"/>
  <c r="H49" i="11" s="1"/>
  <c r="G54" i="11"/>
  <c r="G51" i="11"/>
  <c r="P7" i="10" s="1"/>
  <c r="I216" i="11"/>
  <c r="J208" i="11" s="1"/>
  <c r="D8" i="10" l="1"/>
  <c r="H8" i="10" s="1"/>
  <c r="I218" i="11"/>
  <c r="I29" i="11" s="1"/>
  <c r="I31" i="11" s="1"/>
  <c r="I49" i="11" s="1"/>
  <c r="J216" i="11"/>
  <c r="K208" i="11" s="1"/>
  <c r="G59" i="11"/>
  <c r="G63" i="11" s="1"/>
  <c r="G64" i="11" s="1"/>
  <c r="G68" i="11"/>
  <c r="H51" i="11"/>
  <c r="P8" i="10" s="1"/>
  <c r="H54" i="11"/>
  <c r="J218" i="11" l="1"/>
  <c r="J29" i="11" s="1"/>
  <c r="J31" i="11" s="1"/>
  <c r="D10" i="10" s="1"/>
  <c r="H10" i="10" s="1"/>
  <c r="D9" i="10"/>
  <c r="H9" i="10" s="1"/>
  <c r="G65" i="11"/>
  <c r="K216" i="11"/>
  <c r="L208" i="11" s="1"/>
  <c r="I54" i="11"/>
  <c r="I51" i="11"/>
  <c r="P9" i="10" s="1"/>
  <c r="H68" i="11"/>
  <c r="H59" i="11"/>
  <c r="H63" i="11" s="1"/>
  <c r="H64" i="11" s="1"/>
  <c r="G159" i="11"/>
  <c r="G71" i="11"/>
  <c r="G70" i="11"/>
  <c r="J49" i="11" l="1"/>
  <c r="J51" i="11" s="1"/>
  <c r="P10" i="10" s="1"/>
  <c r="K218" i="11"/>
  <c r="K29" i="11" s="1"/>
  <c r="K31" i="11" s="1"/>
  <c r="K49" i="11" s="1"/>
  <c r="J7" i="10"/>
  <c r="G74" i="11"/>
  <c r="L7" i="10" s="1"/>
  <c r="H65" i="11"/>
  <c r="I7" i="10"/>
  <c r="G163" i="11"/>
  <c r="G164" i="11"/>
  <c r="G172" i="11"/>
  <c r="G171" i="11"/>
  <c r="H71" i="11"/>
  <c r="H70" i="11"/>
  <c r="H159" i="11"/>
  <c r="I68" i="11"/>
  <c r="I59" i="11"/>
  <c r="I63" i="11" s="1"/>
  <c r="I64" i="11" s="1"/>
  <c r="I65" i="11" s="1"/>
  <c r="L216" i="11"/>
  <c r="M208" i="11" s="1"/>
  <c r="J54" i="11" l="1"/>
  <c r="J68" i="11" s="1"/>
  <c r="D11" i="10"/>
  <c r="H11" i="10" s="1"/>
  <c r="G73" i="11"/>
  <c r="K7" i="10" s="1"/>
  <c r="G175" i="11"/>
  <c r="L218" i="11"/>
  <c r="L29" i="11" s="1"/>
  <c r="L31" i="11" s="1"/>
  <c r="L49" i="11" s="1"/>
  <c r="G165" i="11"/>
  <c r="H162" i="11" s="1"/>
  <c r="H74" i="11"/>
  <c r="L8" i="10" s="1"/>
  <c r="J8" i="10"/>
  <c r="H172" i="11"/>
  <c r="H163" i="11"/>
  <c r="H164" i="11"/>
  <c r="H171" i="11"/>
  <c r="M216" i="11"/>
  <c r="N208" i="11" s="1"/>
  <c r="I71" i="11"/>
  <c r="I159" i="11"/>
  <c r="I70" i="11"/>
  <c r="I8" i="10"/>
  <c r="K54" i="11"/>
  <c r="K51" i="11"/>
  <c r="P11" i="10" s="1"/>
  <c r="G167" i="11"/>
  <c r="G173" i="11"/>
  <c r="H170" i="11" s="1"/>
  <c r="J59" i="11" l="1"/>
  <c r="J63" i="11" s="1"/>
  <c r="J64" i="11" s="1"/>
  <c r="J65" i="11" s="1"/>
  <c r="G77" i="11"/>
  <c r="G78" i="11" s="1"/>
  <c r="O7" i="10" s="1"/>
  <c r="D12" i="10"/>
  <c r="H12" i="10" s="1"/>
  <c r="H173" i="11"/>
  <c r="I170" i="11" s="1"/>
  <c r="H73" i="11"/>
  <c r="K8" i="10" s="1"/>
  <c r="H175" i="11"/>
  <c r="H165" i="11"/>
  <c r="I162" i="11" s="1"/>
  <c r="M218" i="11"/>
  <c r="M29" i="11" s="1"/>
  <c r="M31" i="11" s="1"/>
  <c r="D13" i="10" s="1"/>
  <c r="H13" i="10" s="1"/>
  <c r="H167" i="11"/>
  <c r="J159" i="11"/>
  <c r="J71" i="11"/>
  <c r="J70" i="11"/>
  <c r="I9" i="10"/>
  <c r="I74" i="11"/>
  <c r="L9" i="10" s="1"/>
  <c r="J9" i="10"/>
  <c r="N216" i="11"/>
  <c r="O208" i="11" s="1"/>
  <c r="K59" i="11"/>
  <c r="K63" i="11" s="1"/>
  <c r="K64" i="11" s="1"/>
  <c r="K68" i="11"/>
  <c r="R7" i="10"/>
  <c r="M7" i="10"/>
  <c r="N7" i="10" s="1"/>
  <c r="I164" i="11"/>
  <c r="I163" i="11"/>
  <c r="I172" i="11"/>
  <c r="I171" i="11"/>
  <c r="L51" i="11"/>
  <c r="P12" i="10" s="1"/>
  <c r="L54" i="11"/>
  <c r="H77" i="11" l="1"/>
  <c r="H78" i="11" s="1"/>
  <c r="O8" i="10" s="1"/>
  <c r="M49" i="11"/>
  <c r="M51" i="11" s="1"/>
  <c r="P13" i="10" s="1"/>
  <c r="I173" i="11"/>
  <c r="J170" i="11" s="1"/>
  <c r="I165" i="11"/>
  <c r="J162" i="11" s="1"/>
  <c r="K65" i="11"/>
  <c r="J10" i="10"/>
  <c r="J74" i="11"/>
  <c r="L10" i="10" s="1"/>
  <c r="I175" i="11"/>
  <c r="I167" i="11"/>
  <c r="N218" i="11"/>
  <c r="N29" i="11" s="1"/>
  <c r="N31" i="11" s="1"/>
  <c r="I73" i="11"/>
  <c r="L68" i="11"/>
  <c r="L59" i="11"/>
  <c r="L63" i="11" s="1"/>
  <c r="L64" i="11" s="1"/>
  <c r="K71" i="11"/>
  <c r="K159" i="11"/>
  <c r="K70" i="11"/>
  <c r="O216" i="11"/>
  <c r="P208" i="11" s="1"/>
  <c r="M8" i="10"/>
  <c r="N8" i="10" s="1"/>
  <c r="R8" i="10"/>
  <c r="I10" i="10"/>
  <c r="J171" i="11"/>
  <c r="J163" i="11"/>
  <c r="J172" i="11"/>
  <c r="J73" i="11" l="1"/>
  <c r="K10" i="10" s="1"/>
  <c r="J175" i="11"/>
  <c r="J164" i="11"/>
  <c r="J167" i="11" s="1"/>
  <c r="M54" i="11"/>
  <c r="M59" i="11" s="1"/>
  <c r="M63" i="11" s="1"/>
  <c r="M64" i="11" s="1"/>
  <c r="M65" i="11" s="1"/>
  <c r="J173" i="11"/>
  <c r="K170" i="11" s="1"/>
  <c r="P216" i="11"/>
  <c r="Q208" i="11" s="1"/>
  <c r="K171" i="11"/>
  <c r="K163" i="11"/>
  <c r="L65" i="11"/>
  <c r="D14" i="10"/>
  <c r="H14" i="10" s="1"/>
  <c r="N49" i="11"/>
  <c r="I11" i="10"/>
  <c r="K74" i="11"/>
  <c r="L11" i="10" s="1"/>
  <c r="J11" i="10"/>
  <c r="L70" i="11"/>
  <c r="L71" i="11"/>
  <c r="L159" i="11"/>
  <c r="K9" i="10"/>
  <c r="I77" i="11"/>
  <c r="O218" i="11"/>
  <c r="O29" i="11" s="1"/>
  <c r="O31" i="11" s="1"/>
  <c r="J77" i="11" l="1"/>
  <c r="J78" i="11" s="1"/>
  <c r="O10" i="10" s="1"/>
  <c r="J165" i="11"/>
  <c r="K162" i="11" s="1"/>
  <c r="M68" i="11"/>
  <c r="M159" i="11" s="1"/>
  <c r="K172" i="11"/>
  <c r="K175" i="11" s="1"/>
  <c r="P218" i="11"/>
  <c r="P29" i="11" s="1"/>
  <c r="P31" i="11" s="1"/>
  <c r="D16" i="10" s="1"/>
  <c r="H16" i="10" s="1"/>
  <c r="I78" i="11"/>
  <c r="O9" i="10" s="1"/>
  <c r="L163" i="11"/>
  <c r="L171" i="11"/>
  <c r="I12" i="10"/>
  <c r="O49" i="11"/>
  <c r="D15" i="10"/>
  <c r="H15" i="10" s="1"/>
  <c r="R9" i="10"/>
  <c r="M9" i="10"/>
  <c r="N9" i="10" s="1"/>
  <c r="J12" i="10"/>
  <c r="L74" i="11"/>
  <c r="L12" i="10" s="1"/>
  <c r="N54" i="11"/>
  <c r="N51" i="11"/>
  <c r="P14" i="10" s="1"/>
  <c r="Q216" i="11"/>
  <c r="R208" i="11" s="1"/>
  <c r="K73" i="11"/>
  <c r="R10" i="10"/>
  <c r="M10" i="10"/>
  <c r="K173" i="11" l="1"/>
  <c r="L170" i="11" s="1"/>
  <c r="K164" i="11"/>
  <c r="K165" i="11" s="1"/>
  <c r="L162" i="11" s="1"/>
  <c r="M71" i="11"/>
  <c r="M74" i="11" s="1"/>
  <c r="L13" i="10" s="1"/>
  <c r="P49" i="11"/>
  <c r="P51" i="11" s="1"/>
  <c r="P16" i="10" s="1"/>
  <c r="M70" i="11"/>
  <c r="I13" i="10" s="1"/>
  <c r="N10" i="10"/>
  <c r="Q218" i="11"/>
  <c r="Q29" i="11" s="1"/>
  <c r="Q31" i="11" s="1"/>
  <c r="Q49" i="11" s="1"/>
  <c r="R216" i="11"/>
  <c r="S208" i="11" s="1"/>
  <c r="N68" i="11"/>
  <c r="N59" i="11"/>
  <c r="N63" i="11" s="1"/>
  <c r="N64" i="11" s="1"/>
  <c r="O51" i="11"/>
  <c r="P15" i="10" s="1"/>
  <c r="O54" i="11"/>
  <c r="K77" i="11"/>
  <c r="K11" i="10"/>
  <c r="M171" i="11"/>
  <c r="M163" i="11"/>
  <c r="L73" i="11"/>
  <c r="K167" i="11" l="1"/>
  <c r="P54" i="11"/>
  <c r="P68" i="11" s="1"/>
  <c r="L172" i="11"/>
  <c r="L173" i="11" s="1"/>
  <c r="M170" i="11" s="1"/>
  <c r="L164" i="11"/>
  <c r="L165" i="11" s="1"/>
  <c r="M172" i="11" s="1"/>
  <c r="M175" i="11" s="1"/>
  <c r="D17" i="10"/>
  <c r="H17" i="10" s="1"/>
  <c r="J13" i="10"/>
  <c r="M73" i="11"/>
  <c r="M77" i="11" s="1"/>
  <c r="K12" i="10"/>
  <c r="L77" i="11"/>
  <c r="L78" i="11" s="1"/>
  <c r="O12" i="10" s="1"/>
  <c r="K78" i="11"/>
  <c r="O11" i="10" s="1"/>
  <c r="O59" i="11"/>
  <c r="O63" i="11" s="1"/>
  <c r="O64" i="11" s="1"/>
  <c r="O65" i="11" s="1"/>
  <c r="O68" i="11"/>
  <c r="N65" i="11"/>
  <c r="Q54" i="11"/>
  <c r="Q51" i="11"/>
  <c r="R218" i="11"/>
  <c r="R29" i="11" s="1"/>
  <c r="R31" i="11" s="1"/>
  <c r="R11" i="10"/>
  <c r="M11" i="10"/>
  <c r="N11" i="10" s="1"/>
  <c r="N70" i="11"/>
  <c r="N159" i="11"/>
  <c r="N71" i="11"/>
  <c r="S216" i="11"/>
  <c r="T208" i="11" s="1"/>
  <c r="L175" i="11" l="1"/>
  <c r="P59" i="11"/>
  <c r="P63" i="11" s="1"/>
  <c r="P64" i="11" s="1"/>
  <c r="P65" i="11" s="1"/>
  <c r="M164" i="11"/>
  <c r="M167" i="11" s="1"/>
  <c r="L167" i="11"/>
  <c r="M162" i="11"/>
  <c r="M173" i="11"/>
  <c r="N170" i="11" s="1"/>
  <c r="K13" i="10"/>
  <c r="R13" i="10" s="1"/>
  <c r="S218" i="11"/>
  <c r="S29" i="11" s="1"/>
  <c r="S31" i="11" s="1"/>
  <c r="D19" i="10" s="1"/>
  <c r="H19" i="10" s="1"/>
  <c r="P159" i="11"/>
  <c r="P71" i="11"/>
  <c r="P70" i="11"/>
  <c r="N74" i="11"/>
  <c r="L14" i="10" s="1"/>
  <c r="J14" i="10"/>
  <c r="I14" i="10"/>
  <c r="R49" i="11"/>
  <c r="D18" i="10"/>
  <c r="H18" i="10" s="1"/>
  <c r="T216" i="11"/>
  <c r="U208" i="11" s="1"/>
  <c r="N171" i="11"/>
  <c r="N163" i="11"/>
  <c r="Q68" i="11"/>
  <c r="Q59" i="11"/>
  <c r="Q63" i="11" s="1"/>
  <c r="Q64" i="11" s="1"/>
  <c r="M12" i="10"/>
  <c r="N12" i="10" s="1"/>
  <c r="R12" i="10"/>
  <c r="M78" i="11"/>
  <c r="O13" i="10" s="1"/>
  <c r="P17" i="10"/>
  <c r="O159" i="11"/>
  <c r="O71" i="11"/>
  <c r="O70" i="11"/>
  <c r="M13" i="10" l="1"/>
  <c r="N13" i="10" s="1"/>
  <c r="M165" i="11"/>
  <c r="N162" i="11" s="1"/>
  <c r="S49" i="11"/>
  <c r="S54" i="11" s="1"/>
  <c r="T218" i="11"/>
  <c r="T29" i="11" s="1"/>
  <c r="T31" i="11" s="1"/>
  <c r="T49" i="11" s="1"/>
  <c r="T54" i="11" s="1"/>
  <c r="N73" i="11"/>
  <c r="N77" i="11" s="1"/>
  <c r="O74" i="11"/>
  <c r="L15" i="10" s="1"/>
  <c r="J15" i="10"/>
  <c r="I15" i="10"/>
  <c r="O171" i="11"/>
  <c r="O163" i="11"/>
  <c r="Q71" i="11"/>
  <c r="Q159" i="11"/>
  <c r="Q70" i="11"/>
  <c r="U216" i="11"/>
  <c r="V208" i="11" s="1"/>
  <c r="R51" i="11"/>
  <c r="R54" i="11"/>
  <c r="J16" i="10"/>
  <c r="P74" i="11"/>
  <c r="L16" i="10" s="1"/>
  <c r="Q65" i="11"/>
  <c r="I16" i="10"/>
  <c r="P163" i="11"/>
  <c r="P171" i="11"/>
  <c r="N172" i="11" l="1"/>
  <c r="N175" i="11" s="1"/>
  <c r="N164" i="11"/>
  <c r="N167" i="11" s="1"/>
  <c r="K14" i="10"/>
  <c r="M14" i="10" s="1"/>
  <c r="N14" i="10" s="1"/>
  <c r="S51" i="11"/>
  <c r="P19" i="10" s="1"/>
  <c r="D20" i="10"/>
  <c r="H20" i="10" s="1"/>
  <c r="P73" i="11"/>
  <c r="P77" i="11" s="1"/>
  <c r="O73" i="11"/>
  <c r="O77" i="11" s="1"/>
  <c r="O78" i="11" s="1"/>
  <c r="O15" i="10" s="1"/>
  <c r="P18" i="10"/>
  <c r="V216" i="11"/>
  <c r="W208" i="11" s="1"/>
  <c r="Q171" i="11"/>
  <c r="Q163" i="11"/>
  <c r="N78" i="11"/>
  <c r="O14" i="10" s="1"/>
  <c r="T59" i="11"/>
  <c r="T63" i="11" s="1"/>
  <c r="T64" i="11" s="1"/>
  <c r="T68" i="11"/>
  <c r="R59" i="11"/>
  <c r="R63" i="11" s="1"/>
  <c r="R64" i="11" s="1"/>
  <c r="R68" i="11"/>
  <c r="I17" i="10"/>
  <c r="J17" i="10"/>
  <c r="Q74" i="11"/>
  <c r="L17" i="10" s="1"/>
  <c r="S68" i="11"/>
  <c r="S59" i="11"/>
  <c r="S63" i="11" s="1"/>
  <c r="S64" i="11" s="1"/>
  <c r="U218" i="11"/>
  <c r="U29" i="11" s="1"/>
  <c r="U31" i="11" s="1"/>
  <c r="R14" i="10" l="1"/>
  <c r="N173" i="11"/>
  <c r="O170" i="11" s="1"/>
  <c r="N165" i="11"/>
  <c r="O172" i="11" s="1"/>
  <c r="K16" i="10"/>
  <c r="M16" i="10" s="1"/>
  <c r="E51" i="11"/>
  <c r="G65" i="7" s="1"/>
  <c r="G66" i="7" s="1"/>
  <c r="D11" i="9" s="1"/>
  <c r="F51" i="11"/>
  <c r="R52" i="11" s="1"/>
  <c r="K15" i="10"/>
  <c r="M15" i="10" s="1"/>
  <c r="N15" i="10" s="1"/>
  <c r="D21" i="10"/>
  <c r="H21" i="10" s="1"/>
  <c r="U49" i="11"/>
  <c r="U54" i="11" s="1"/>
  <c r="R71" i="11"/>
  <c r="R159" i="11"/>
  <c r="R70" i="11"/>
  <c r="T159" i="11"/>
  <c r="T70" i="11"/>
  <c r="T71" i="11"/>
  <c r="Q73" i="11"/>
  <c r="P78" i="11"/>
  <c r="O16" i="10" s="1"/>
  <c r="V218" i="11"/>
  <c r="V29" i="11" s="1"/>
  <c r="V31" i="11" s="1"/>
  <c r="S70" i="11"/>
  <c r="S71" i="11"/>
  <c r="S159" i="11"/>
  <c r="S65" i="11"/>
  <c r="R65" i="11"/>
  <c r="T65" i="11"/>
  <c r="W216" i="11"/>
  <c r="X208" i="11" s="1"/>
  <c r="O164" i="11" l="1"/>
  <c r="O167" i="11" s="1"/>
  <c r="R16" i="10"/>
  <c r="O162" i="11"/>
  <c r="O173" i="11"/>
  <c r="P170" i="11" s="1"/>
  <c r="O175" i="11"/>
  <c r="AG52" i="11"/>
  <c r="AD52" i="11"/>
  <c r="Q52" i="11"/>
  <c r="AI52" i="11"/>
  <c r="M52" i="11"/>
  <c r="O52" i="11"/>
  <c r="L52" i="11"/>
  <c r="J52" i="11"/>
  <c r="AA52" i="11"/>
  <c r="AJ52" i="11"/>
  <c r="Z52" i="11"/>
  <c r="H52" i="11"/>
  <c r="AC52" i="11"/>
  <c r="G52" i="11"/>
  <c r="K52" i="11"/>
  <c r="S52" i="11"/>
  <c r="T52" i="11"/>
  <c r="X52" i="11"/>
  <c r="I52" i="11"/>
  <c r="W52" i="11"/>
  <c r="N52" i="11"/>
  <c r="P52" i="11"/>
  <c r="AF52" i="11"/>
  <c r="AH52" i="11"/>
  <c r="U52" i="11"/>
  <c r="AB52" i="11"/>
  <c r="V52" i="11"/>
  <c r="G62" i="7"/>
  <c r="G63" i="7" s="1"/>
  <c r="D10" i="9" s="1"/>
  <c r="Y52" i="11"/>
  <c r="AE52" i="11"/>
  <c r="R15" i="10"/>
  <c r="X216" i="11"/>
  <c r="Y208" i="11" s="1"/>
  <c r="S74" i="11"/>
  <c r="L19" i="10" s="1"/>
  <c r="J19" i="10"/>
  <c r="V49" i="11"/>
  <c r="V54" i="11" s="1"/>
  <c r="D22" i="10"/>
  <c r="K17" i="10"/>
  <c r="Q77" i="11"/>
  <c r="I20" i="10"/>
  <c r="I18" i="10"/>
  <c r="R74" i="11"/>
  <c r="L18" i="10" s="1"/>
  <c r="J18" i="10"/>
  <c r="W218" i="11"/>
  <c r="W29" i="11" s="1"/>
  <c r="W31" i="11" s="1"/>
  <c r="S171" i="11"/>
  <c r="S163" i="11"/>
  <c r="I19" i="10"/>
  <c r="J20" i="10"/>
  <c r="T74" i="11"/>
  <c r="L20" i="10" s="1"/>
  <c r="T163" i="11"/>
  <c r="T171" i="11"/>
  <c r="R163" i="11"/>
  <c r="R171" i="11"/>
  <c r="U59" i="11"/>
  <c r="U63" i="11" s="1"/>
  <c r="U64" i="11" s="1"/>
  <c r="U68" i="11"/>
  <c r="N16" i="10"/>
  <c r="O165" i="11" l="1"/>
  <c r="P172" i="11" s="1"/>
  <c r="P175" i="11" s="1"/>
  <c r="F62" i="7"/>
  <c r="R73" i="11"/>
  <c r="R77" i="11" s="1"/>
  <c r="R78" i="11" s="1"/>
  <c r="O18" i="10" s="1"/>
  <c r="S73" i="11"/>
  <c r="S77" i="11" s="1"/>
  <c r="X218" i="11"/>
  <c r="X29" i="11" s="1"/>
  <c r="X31" i="11" s="1"/>
  <c r="D24" i="10" s="1"/>
  <c r="H24" i="10" s="1"/>
  <c r="U159" i="11"/>
  <c r="U70" i="11"/>
  <c r="U71" i="11"/>
  <c r="D23" i="10"/>
  <c r="W49" i="11"/>
  <c r="W54" i="11" s="1"/>
  <c r="M17" i="10"/>
  <c r="N17" i="10" s="1"/>
  <c r="R17" i="10"/>
  <c r="V68" i="11"/>
  <c r="V59" i="11"/>
  <c r="V63" i="11" s="1"/>
  <c r="V64" i="11" s="1"/>
  <c r="V65" i="11" s="1"/>
  <c r="Y216" i="11"/>
  <c r="Z208" i="11" s="1"/>
  <c r="U65" i="11"/>
  <c r="Q78" i="11"/>
  <c r="O17" i="10" s="1"/>
  <c r="H22" i="10"/>
  <c r="T73" i="11"/>
  <c r="P173" i="11" l="1"/>
  <c r="Q170" i="11" s="1"/>
  <c r="P164" i="11"/>
  <c r="P167" i="11" s="1"/>
  <c r="P162" i="11"/>
  <c r="K18" i="10"/>
  <c r="R18" i="10" s="1"/>
  <c r="K19" i="10"/>
  <c r="R19" i="10" s="1"/>
  <c r="X49" i="11"/>
  <c r="X54" i="11" s="1"/>
  <c r="X59" i="11" s="1"/>
  <c r="X63" i="11" s="1"/>
  <c r="X64" i="11" s="1"/>
  <c r="S78" i="11"/>
  <c r="O19" i="10" s="1"/>
  <c r="K20" i="10"/>
  <c r="T77" i="11"/>
  <c r="W68" i="11"/>
  <c r="W59" i="11"/>
  <c r="W63" i="11" s="1"/>
  <c r="W64" i="11" s="1"/>
  <c r="J21" i="10"/>
  <c r="U74" i="11"/>
  <c r="L21" i="10" s="1"/>
  <c r="U171" i="11"/>
  <c r="U163" i="11"/>
  <c r="Y218" i="11"/>
  <c r="Y29" i="11" s="1"/>
  <c r="Y31" i="11" s="1"/>
  <c r="Z216" i="11"/>
  <c r="AA208" i="11" s="1"/>
  <c r="AA218" i="11" s="1"/>
  <c r="AA29" i="11" s="1"/>
  <c r="AA31" i="11" s="1"/>
  <c r="AA49" i="11" s="1"/>
  <c r="AA54" i="11" s="1"/>
  <c r="V159" i="11"/>
  <c r="V71" i="11"/>
  <c r="V70" i="11"/>
  <c r="H23" i="10"/>
  <c r="I21" i="10"/>
  <c r="P165" i="11" l="1"/>
  <c r="Q162" i="11" s="1"/>
  <c r="M18" i="10"/>
  <c r="N18" i="10" s="1"/>
  <c r="M19" i="10"/>
  <c r="X68" i="11"/>
  <c r="X71" i="11" s="1"/>
  <c r="U73" i="11"/>
  <c r="U77" i="11" s="1"/>
  <c r="U78" i="11" s="1"/>
  <c r="O21" i="10" s="1"/>
  <c r="Z218" i="11"/>
  <c r="Z29" i="11" s="1"/>
  <c r="Z31" i="11" s="1"/>
  <c r="Z49" i="11" s="1"/>
  <c r="Z54" i="11" s="1"/>
  <c r="V74" i="11"/>
  <c r="L22" i="10" s="1"/>
  <c r="J22" i="10"/>
  <c r="I22" i="10"/>
  <c r="V163" i="11"/>
  <c r="V171" i="11"/>
  <c r="AA68" i="11"/>
  <c r="AA59" i="11"/>
  <c r="AA63" i="11" s="1"/>
  <c r="AA64" i="11" s="1"/>
  <c r="W65" i="11"/>
  <c r="M20" i="10"/>
  <c r="R20" i="10"/>
  <c r="D25" i="10"/>
  <c r="Y49" i="11"/>
  <c r="Y54" i="11" s="1"/>
  <c r="W159" i="11"/>
  <c r="W71" i="11"/>
  <c r="W70" i="11"/>
  <c r="X65" i="11"/>
  <c r="T78" i="11"/>
  <c r="O20" i="10" s="1"/>
  <c r="Q172" i="11" l="1"/>
  <c r="Q175" i="11" s="1"/>
  <c r="Q164" i="11"/>
  <c r="Q167" i="11" s="1"/>
  <c r="X159" i="11"/>
  <c r="X171" i="11" s="1"/>
  <c r="N19" i="10"/>
  <c r="N20" i="10" s="1"/>
  <c r="X70" i="11"/>
  <c r="I24" i="10" s="1"/>
  <c r="K21" i="10"/>
  <c r="R21" i="10" s="1"/>
  <c r="D26" i="10"/>
  <c r="H26" i="10" s="1"/>
  <c r="V73" i="11"/>
  <c r="K22" i="10" s="1"/>
  <c r="J23" i="10"/>
  <c r="W74" i="11"/>
  <c r="L23" i="10" s="1"/>
  <c r="Y68" i="11"/>
  <c r="Y59" i="11"/>
  <c r="Y63" i="11" s="1"/>
  <c r="Y64" i="11" s="1"/>
  <c r="J24" i="10"/>
  <c r="X74" i="11"/>
  <c r="L24" i="10" s="1"/>
  <c r="X163" i="11"/>
  <c r="AA71" i="11"/>
  <c r="AA74" i="11" s="1"/>
  <c r="AA70" i="11"/>
  <c r="AA159" i="11"/>
  <c r="I23" i="10"/>
  <c r="W163" i="11"/>
  <c r="W171" i="11"/>
  <c r="H25" i="10"/>
  <c r="Z59" i="11"/>
  <c r="Z63" i="11" s="1"/>
  <c r="Z64" i="11" s="1"/>
  <c r="Z68" i="11"/>
  <c r="Q173" i="11" l="1"/>
  <c r="R170" i="11" s="1"/>
  <c r="Q165" i="11"/>
  <c r="R172" i="11" s="1"/>
  <c r="M21" i="10"/>
  <c r="N21" i="10" s="1"/>
  <c r="V77" i="11"/>
  <c r="V78" i="11" s="1"/>
  <c r="O22" i="10" s="1"/>
  <c r="AA73" i="11"/>
  <c r="AA77" i="11" s="1"/>
  <c r="R22" i="10"/>
  <c r="M22" i="10"/>
  <c r="Y65" i="11"/>
  <c r="AF65" i="11"/>
  <c r="D80" i="11"/>
  <c r="AJ65" i="11"/>
  <c r="AG65" i="11"/>
  <c r="AB65" i="11"/>
  <c r="AC65" i="11"/>
  <c r="AH65" i="11"/>
  <c r="AA65" i="11"/>
  <c r="Z65" i="11"/>
  <c r="AI65" i="11"/>
  <c r="AE65" i="11"/>
  <c r="AD65" i="11"/>
  <c r="Z159" i="11"/>
  <c r="Z70" i="11"/>
  <c r="Z71" i="11"/>
  <c r="AA163" i="11"/>
  <c r="AA172" i="11"/>
  <c r="AA171" i="11"/>
  <c r="AA164" i="11"/>
  <c r="Y159" i="11"/>
  <c r="Y71" i="11"/>
  <c r="Y70" i="11"/>
  <c r="X73" i="11"/>
  <c r="W73" i="11"/>
  <c r="R162" i="11" l="1"/>
  <c r="R164" i="11"/>
  <c r="R167" i="11" s="1"/>
  <c r="R175" i="11"/>
  <c r="R173" i="11"/>
  <c r="S170" i="11" s="1"/>
  <c r="N22" i="10"/>
  <c r="AA167" i="11"/>
  <c r="AA175" i="11"/>
  <c r="K24" i="10"/>
  <c r="X77" i="11"/>
  <c r="J25" i="10"/>
  <c r="Y74" i="11"/>
  <c r="L25" i="10" s="1"/>
  <c r="J26" i="10"/>
  <c r="Z74" i="11"/>
  <c r="L26" i="10" s="1"/>
  <c r="Z171" i="11"/>
  <c r="Z163" i="11"/>
  <c r="K23" i="10"/>
  <c r="W77" i="11"/>
  <c r="I25" i="10"/>
  <c r="Y171" i="11"/>
  <c r="Y163" i="11"/>
  <c r="I26" i="10"/>
  <c r="Y73" i="11" l="1"/>
  <c r="K25" i="10" s="1"/>
  <c r="R165" i="11"/>
  <c r="S172" i="11" s="1"/>
  <c r="S175" i="11" s="1"/>
  <c r="Z73" i="11"/>
  <c r="K26" i="10" s="1"/>
  <c r="R23" i="10"/>
  <c r="M23" i="10"/>
  <c r="N23" i="10" s="1"/>
  <c r="R24" i="10"/>
  <c r="M24" i="10"/>
  <c r="W78" i="11"/>
  <c r="O23" i="10" s="1"/>
  <c r="X78" i="11"/>
  <c r="O24" i="10" s="1"/>
  <c r="Y77" i="11" l="1"/>
  <c r="Y78" i="11" s="1"/>
  <c r="O25" i="10" s="1"/>
  <c r="S162" i="11"/>
  <c r="S173" i="11"/>
  <c r="T170" i="11" s="1"/>
  <c r="S164" i="11"/>
  <c r="S167" i="11" s="1"/>
  <c r="N24" i="10"/>
  <c r="Z77" i="11"/>
  <c r="R26" i="10"/>
  <c r="M26" i="10"/>
  <c r="R25" i="10"/>
  <c r="M25" i="10"/>
  <c r="Z78" i="11" l="1"/>
  <c r="O26" i="10" s="1"/>
  <c r="S165" i="11"/>
  <c r="T172" i="11" s="1"/>
  <c r="T175" i="11" s="1"/>
  <c r="N25" i="10"/>
  <c r="N26" i="10" s="1"/>
  <c r="N27" i="10" s="1"/>
  <c r="N28" i="10" s="1"/>
  <c r="N29" i="10" s="1"/>
  <c r="N30" i="10" s="1"/>
  <c r="N31" i="10" s="1"/>
  <c r="N32" i="10" s="1"/>
  <c r="N33" i="10" s="1"/>
  <c r="N34" i="10" s="1"/>
  <c r="N35" i="10" s="1"/>
  <c r="N36" i="10" s="1"/>
  <c r="AH78" i="11"/>
  <c r="AF78" i="11"/>
  <c r="AB78" i="11"/>
  <c r="AJ78" i="11"/>
  <c r="AC78" i="11"/>
  <c r="D81" i="11"/>
  <c r="AI78" i="11"/>
  <c r="AE78" i="11"/>
  <c r="AD78" i="11"/>
  <c r="AG78" i="11"/>
  <c r="AA78" i="11"/>
  <c r="D82" i="11"/>
  <c r="K223" i="11" s="1"/>
  <c r="T164" i="11" l="1"/>
  <c r="T167" i="11" s="1"/>
  <c r="T173" i="11"/>
  <c r="U170" i="11" s="1"/>
  <c r="T162" i="11"/>
  <c r="G223" i="11"/>
  <c r="O223" i="11"/>
  <c r="T165" i="11" l="1"/>
  <c r="U164" i="11" s="1"/>
  <c r="U167" i="11" s="1"/>
  <c r="U172" i="11" l="1"/>
  <c r="U173" i="11" s="1"/>
  <c r="V170" i="11" s="1"/>
  <c r="U162" i="11"/>
  <c r="U165" i="11" s="1"/>
  <c r="V162" i="11" s="1"/>
  <c r="V164" i="11" l="1"/>
  <c r="V167" i="11" s="1"/>
  <c r="U175" i="11"/>
  <c r="V172" i="11"/>
  <c r="V175" i="11" s="1"/>
  <c r="V165" i="11" l="1"/>
  <c r="W162" i="11" s="1"/>
  <c r="V173" i="11"/>
  <c r="W170" i="11" s="1"/>
  <c r="W164" i="11" l="1"/>
  <c r="W167" i="11" s="1"/>
  <c r="W172" i="11"/>
  <c r="W175" i="11" s="1"/>
  <c r="W173" i="11" l="1"/>
  <c r="X170" i="11" s="1"/>
  <c r="W165" i="11"/>
  <c r="X172" i="11" s="1"/>
  <c r="X175" i="11" s="1"/>
  <c r="X173" i="11" l="1"/>
  <c r="Y170" i="11" s="1"/>
  <c r="X164" i="11"/>
  <c r="X167" i="11" s="1"/>
  <c r="X162" i="11"/>
  <c r="X165" i="11" l="1"/>
  <c r="Y162" i="11" s="1"/>
  <c r="Y172" i="11" l="1"/>
  <c r="Y173" i="11" s="1"/>
  <c r="Z170" i="11" s="1"/>
  <c r="Y164" i="11"/>
  <c r="Y167" i="11" s="1"/>
  <c r="Y175" i="11" l="1"/>
  <c r="Y165" i="11"/>
  <c r="Z162" i="11" s="1"/>
  <c r="Z164" i="11" l="1"/>
  <c r="Z167" i="11" s="1"/>
  <c r="Z172" i="11"/>
  <c r="Z175" i="11" s="1"/>
  <c r="Z165" i="11" l="1"/>
  <c r="AA162" i="11" s="1"/>
  <c r="AA165" i="11" s="1"/>
  <c r="AB162" i="11" s="1"/>
  <c r="AB165" i="11" s="1"/>
  <c r="AC162" i="11" s="1"/>
  <c r="AC165" i="11" s="1"/>
  <c r="AD162" i="11" s="1"/>
  <c r="AD165" i="11" s="1"/>
  <c r="AE162" i="11" s="1"/>
  <c r="AE165" i="11" s="1"/>
  <c r="AF162" i="11" s="1"/>
  <c r="AF165" i="11" s="1"/>
  <c r="AG162" i="11" s="1"/>
  <c r="AG165" i="11" s="1"/>
  <c r="AH162" i="11" s="1"/>
  <c r="AH165" i="11" s="1"/>
  <c r="AI162" i="11" s="1"/>
  <c r="AI165" i="11" s="1"/>
  <c r="AJ162" i="11" s="1"/>
  <c r="AJ165" i="11" s="1"/>
  <c r="Z173" i="11"/>
  <c r="AA170" i="11" s="1"/>
  <c r="AA173" i="11" s="1"/>
  <c r="AB170" i="11" s="1"/>
  <c r="AB173" i="11" s="1"/>
  <c r="AC170" i="11" s="1"/>
  <c r="AC173" i="11" s="1"/>
  <c r="AD170" i="11" s="1"/>
  <c r="AD173" i="11" s="1"/>
  <c r="AE170" i="11" s="1"/>
  <c r="AE173" i="11" s="1"/>
  <c r="AF170" i="11" s="1"/>
  <c r="AF173" i="11" s="1"/>
  <c r="AG170" i="11" s="1"/>
  <c r="AG173" i="11" s="1"/>
  <c r="AH170" i="11" s="1"/>
  <c r="AH173" i="11" s="1"/>
  <c r="AI170" i="11" s="1"/>
  <c r="AI173" i="11" s="1"/>
  <c r="AJ170" i="11" s="1"/>
  <c r="AJ17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D23" authorId="0" shapeId="0" xr:uid="{00000000-0006-0000-0000-000001000000}">
      <text>
        <r>
          <rPr>
            <b/>
            <sz val="14"/>
            <color indexed="81"/>
            <rFont val="Tahoma"/>
            <family val="2"/>
          </rPr>
          <t>Note:</t>
        </r>
        <r>
          <rPr>
            <sz val="14"/>
            <color indexed="81"/>
            <rFont val="Tahoma"/>
            <family val="2"/>
          </rPr>
          <t xml:space="preserve">
The user is strongly encouraged to review all of these comments in order to understand key features of the CREST model.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Gifford</author>
    <author>Ryan Miamis</author>
    <author>Tyler Leeds</author>
  </authors>
  <commentList>
    <comment ref="C4" authorId="0" shapeId="0" xr:uid="{00000000-0006-0000-0100-000001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t>
        </r>
      </text>
    </comment>
    <comment ref="I4" authorId="0" shapeId="0" xr:uid="{00000000-0006-0000-0100-000002000000}">
      <text>
        <r>
          <rPr>
            <sz val="14"/>
            <color indexed="81"/>
            <rFont val="Tahoma"/>
            <family val="2"/>
          </rPr>
          <t xml:space="preserve">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
</t>
        </r>
        <r>
          <rPr>
            <sz val="8"/>
            <color indexed="81"/>
            <rFont val="Tahoma"/>
            <family val="2"/>
          </rPr>
          <t xml:space="preserve">
</t>
        </r>
      </text>
    </comment>
    <comment ref="M4" authorId="0" shapeId="0" xr:uid="{00000000-0006-0000-0100-000003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t>
        </r>
      </text>
    </comment>
    <comment ref="S4" authorId="0" shapeId="0" xr:uid="{00000000-0006-0000-0100-000004000000}">
      <text>
        <r>
          <rPr>
            <sz val="14"/>
            <color indexed="81"/>
            <rFont val="Tahoma"/>
            <family val="2"/>
          </rPr>
          <t>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t>
        </r>
        <r>
          <rPr>
            <sz val="8"/>
            <color indexed="81"/>
            <rFont val="Tahoma"/>
            <family val="2"/>
          </rPr>
          <t xml:space="preserve">
</t>
        </r>
      </text>
    </comment>
    <comment ref="F6" authorId="0" shapeId="0" xr:uid="{00000000-0006-0000-0100-000005000000}">
      <text>
        <r>
          <rPr>
            <b/>
            <sz val="8"/>
            <color indexed="81"/>
            <rFont val="Tahoma"/>
            <family val="2"/>
          </rPr>
          <t>See "unit" definitions at the bottom of this worksheet.</t>
        </r>
        <r>
          <rPr>
            <sz val="8"/>
            <color indexed="81"/>
            <rFont val="Tahoma"/>
            <family val="2"/>
          </rPr>
          <t xml:space="preserve">
</t>
        </r>
      </text>
    </comment>
    <comment ref="P6" authorId="0" shapeId="0" xr:uid="{00000000-0006-0000-0100-000006000000}">
      <text>
        <r>
          <rPr>
            <b/>
            <sz val="8"/>
            <color indexed="81"/>
            <rFont val="Tahoma"/>
            <family val="2"/>
          </rPr>
          <t>See "unit" definitions at the bottom of this worksheet.</t>
        </r>
        <r>
          <rPr>
            <sz val="8"/>
            <color indexed="81"/>
            <rFont val="Tahoma"/>
            <family val="2"/>
          </rPr>
          <t xml:space="preserve">
</t>
        </r>
      </text>
    </comment>
    <comment ref="I7" authorId="1" shapeId="0" xr:uid="{00000000-0006-0000-0100-000007000000}">
      <text>
        <r>
          <rPr>
            <b/>
            <sz val="14"/>
            <color indexed="81"/>
            <rFont val="Tahoma"/>
            <family val="2"/>
          </rPr>
          <t xml:space="preserve">Note:
</t>
        </r>
        <r>
          <rPr>
            <sz val="14"/>
            <color indexed="81"/>
            <rFont val="Tahoma"/>
            <family val="2"/>
          </rPr>
          <t>The number of fuel cell units per generating facility.
Fuel cells are a modular technology, allowing many units to operating together as a larger facility.</t>
        </r>
      </text>
    </comment>
    <comment ref="S7" authorId="0" shapeId="0" xr:uid="{00000000-0006-0000-0100-000008000000}">
      <text>
        <r>
          <rPr>
            <b/>
            <sz val="14"/>
            <color indexed="81"/>
            <rFont val="Tahoma"/>
            <family val="2"/>
          </rPr>
          <t>NOTE:</t>
        </r>
        <r>
          <rPr>
            <sz val="14"/>
            <color indexed="81"/>
            <rFont val="Tahoma"/>
            <family val="2"/>
          </rPr>
          <t xml:space="preserve">
Heat exchangers are not 100% efficient.  This input represents the efficiency with which waste heat is converted into a usable format. 
This value will be site specific.</t>
        </r>
      </text>
    </comment>
    <comment ref="I8" authorId="1" shapeId="0" xr:uid="{00000000-0006-0000-0100-000009000000}">
      <text>
        <r>
          <rPr>
            <b/>
            <sz val="14"/>
            <color indexed="81"/>
            <rFont val="Tahoma"/>
            <family val="2"/>
          </rPr>
          <t xml:space="preserve">Note: </t>
        </r>
        <r>
          <rPr>
            <sz val="8"/>
            <color indexed="81"/>
            <rFont val="Tahoma"/>
            <family val="2"/>
          </rPr>
          <t xml:space="preserve">
</t>
        </r>
        <r>
          <rPr>
            <sz val="14"/>
            <color indexed="81"/>
            <rFont val="Tahoma"/>
            <family val="2"/>
          </rPr>
          <t>This is the nameplate rating for the generating unit as rated by the manufacturer at the normal operating conditions.
Input must be greater than zero.</t>
        </r>
      </text>
    </comment>
    <comment ref="S8" authorId="0" shapeId="0" xr:uid="{00000000-0006-0000-0100-00000A000000}">
      <text>
        <r>
          <rPr>
            <b/>
            <sz val="14"/>
            <color indexed="81"/>
            <rFont val="Tahoma"/>
            <family val="2"/>
          </rPr>
          <t>NOTE:</t>
        </r>
        <r>
          <rPr>
            <sz val="14"/>
            <color indexed="81"/>
            <rFont val="Tahoma"/>
            <family val="2"/>
          </rPr>
          <t xml:space="preserve">
This is the waste heat available for sale, and is calculated by first subtracting the BTUs used to generate 1 kWh from the total heat content required by the generator (it's heat rate) to produce that kWh, and then multiplying by the assumed heat capture efficiency.
This value will be site specific.</t>
        </r>
      </text>
    </comment>
    <comment ref="I9" authorId="2" shapeId="0" xr:uid="{00000000-0006-0000-0100-00000B000000}">
      <text>
        <r>
          <rPr>
            <b/>
            <sz val="14"/>
            <color indexed="81"/>
            <rFont val="Tahoma"/>
            <family val="2"/>
          </rPr>
          <t>Note:</t>
        </r>
        <r>
          <rPr>
            <sz val="14"/>
            <color indexed="81"/>
            <rFont val="Tahoma"/>
            <family val="2"/>
          </rPr>
          <t xml:space="preserve">
This is the aggregate nameplate rating for the entire generating facility as rated by the manufacturer at the normal operating conditions.
Input must be greater than zero.
This value will be site specific but reasonable inputs are likely to fall in the range of 100 kW to tens of megawatts.</t>
        </r>
      </text>
    </comment>
    <comment ref="S9" authorId="0" shapeId="0" xr:uid="{00000000-0006-0000-0100-00000C000000}">
      <text>
        <r>
          <rPr>
            <b/>
            <sz val="14"/>
            <color indexed="81"/>
            <rFont val="Tahoma"/>
            <family val="2"/>
          </rPr>
          <t>NOTE:</t>
        </r>
        <r>
          <rPr>
            <sz val="14"/>
            <color indexed="81"/>
            <rFont val="Tahoma"/>
            <family val="2"/>
          </rPr>
          <t xml:space="preserve">
The price (or market value due to avoided cost) of heat sold (or offsetting retail purchases).
This value will be site specific.</t>
        </r>
      </text>
    </comment>
    <comment ref="I10" authorId="0" shapeId="0" xr:uid="{00000000-0006-0000-0100-00000D000000}">
      <text>
        <r>
          <rPr>
            <b/>
            <sz val="14"/>
            <color indexed="81"/>
            <rFont val="Tahoma"/>
            <family val="2"/>
          </rPr>
          <t>NOTE:</t>
        </r>
        <r>
          <rPr>
            <sz val="14"/>
            <color indexed="81"/>
            <rFont val="Tahoma"/>
            <family val="2"/>
          </rPr>
          <t xml:space="preserve">
No conversion technology is 100% efficient.  This input represents the efficiency with which the fuel cells converts fuel to electricity. 
See the Waste Heat inputs to the right for taking the additional useable heat and potential revenue into account.
This value will be site specific but reasonable inputs are likely to fall in the range of 35-60%</t>
        </r>
      </text>
    </comment>
    <comment ref="S10" authorId="0" shapeId="0" xr:uid="{00000000-0006-0000-0100-00000E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This value will be site specific.
</t>
        </r>
      </text>
    </comment>
    <comment ref="I11" authorId="0" shapeId="0" xr:uid="{00000000-0006-0000-0100-00000F000000}">
      <text>
        <r>
          <rPr>
            <b/>
            <sz val="14"/>
            <color indexed="81"/>
            <rFont val="Tahoma"/>
            <family val="2"/>
          </rPr>
          <t>NOTE:</t>
        </r>
        <r>
          <rPr>
            <sz val="14"/>
            <color indexed="81"/>
            <rFont val="Tahoma"/>
            <family val="2"/>
          </rPr>
          <t xml:space="preserve">
Heat rate is a measurement used to represent generator efficiency.  Heat rate is typically expressed as the number of BTUs of heat required to produce one kWh of electricity.</t>
        </r>
      </text>
    </comment>
    <comment ref="I12" authorId="0" shapeId="0" xr:uid="{00000000-0006-0000-0100-000010000000}">
      <text>
        <r>
          <rPr>
            <b/>
            <sz val="14"/>
            <color indexed="81"/>
            <rFont val="Tahoma"/>
            <family val="2"/>
          </rPr>
          <t>NOTE:</t>
        </r>
        <r>
          <rPr>
            <sz val="14"/>
            <color indexed="81"/>
            <rFont val="Tahoma"/>
            <family val="2"/>
          </rPr>
          <t xml:space="preserve">
The typical caloric value of natural gas is roughly 1,000 British thermal units (BTU) per cubic foot, depending on gas composition.</t>
        </r>
      </text>
    </comment>
    <comment ref="P12" authorId="0" shapeId="0" xr:uid="{00000000-0006-0000-0100-000011000000}">
      <text>
        <r>
          <rPr>
            <b/>
            <sz val="8"/>
            <color indexed="81"/>
            <rFont val="Tahoma"/>
            <family val="2"/>
          </rPr>
          <t>See "unit" definitions at the bottom of this worksheet.</t>
        </r>
        <r>
          <rPr>
            <sz val="8"/>
            <color indexed="81"/>
            <rFont val="Tahoma"/>
            <family val="2"/>
          </rPr>
          <t xml:space="preserve">
</t>
        </r>
      </text>
    </comment>
    <comment ref="I13" authorId="1" shapeId="0" xr:uid="{00000000-0006-0000-0100-000012000000}">
      <text>
        <r>
          <rPr>
            <b/>
            <sz val="14"/>
            <color indexed="81"/>
            <rFont val="Tahoma"/>
            <family val="2"/>
          </rPr>
          <t>Note:</t>
        </r>
        <r>
          <rPr>
            <sz val="14"/>
            <color indexed="81"/>
            <rFont val="Tahoma"/>
            <family val="2"/>
          </rPr>
          <t xml:space="preserve">
Total fuel consumption for fuel cell generating facility measured in cubic feet per year.  This value is calculated based on plant size, efficiency and fuel energy content.</t>
        </r>
      </text>
    </comment>
    <comment ref="S13" authorId="2" shapeId="0" xr:uid="{00000000-0006-0000-0100-000013000000}">
      <text>
        <r>
          <rPr>
            <b/>
            <sz val="14"/>
            <color indexed="81"/>
            <rFont val="Tahoma"/>
            <family val="2"/>
          </rPr>
          <t xml:space="preserve">Note:
</t>
        </r>
        <r>
          <rPr>
            <sz val="14"/>
            <color indexed="81"/>
            <rFont val="Tahoma"/>
            <family val="2"/>
          </rPr>
          <t xml:space="preserve">The FIT contract length is the number of years for which the rate specified by this model is available. This term is established by policymakers and must be less than or equal to the project's useful life.  
The contract duration is also different than the debt tenor (if applicable), which is specified in the Permanent Financing section below.
</t>
        </r>
      </text>
    </comment>
    <comment ref="I14" authorId="0" shapeId="0" xr:uid="{00000000-0006-0000-0100-000014000000}">
      <text>
        <r>
          <rPr>
            <b/>
            <sz val="14"/>
            <color indexed="81"/>
            <rFont val="Tahoma"/>
            <family val="2"/>
          </rPr>
          <t>NOTE:</t>
        </r>
        <r>
          <rPr>
            <sz val="14"/>
            <color indexed="81"/>
            <rFont val="Tahoma"/>
            <family val="2"/>
          </rPr>
          <t xml:space="preserve">
The 'availability factor' represents the percentage of annual hours in which the generator is operational and available to deliver electricity to the gris (or on-site host). 
This value will be site specific but reasonable inputs are likely to fall in the range of 85-95%</t>
        </r>
      </text>
    </comment>
    <comment ref="S14" authorId="2" shapeId="0" xr:uid="{00000000-0006-0000-0100-000015000000}">
      <text>
        <r>
          <rPr>
            <b/>
            <sz val="14"/>
            <color indexed="81"/>
            <rFont val="Tahoma"/>
            <family val="2"/>
          </rPr>
          <t xml:space="preserve">Note:
</t>
        </r>
        <r>
          <rPr>
            <sz val="14"/>
            <color indexed="81"/>
            <rFont val="Tahoma"/>
            <family val="2"/>
          </rPr>
          <t xml:space="preserve">This is the portion (%) of the tariff which is subject to annual escalation.  
Program administrators may determine that some or all of the tariff rate should be escalated to reflect the uncertainty associated with the future cost of owning and operating an electricity generating facility. This input is separate from the inflation assumed to apply to certain O&amp;M expenses, which is provided as an input in the O&amp;M section below.
Input must be between 0% and 100%.
</t>
        </r>
      </text>
    </comment>
    <comment ref="I15" authorId="0" shapeId="0" xr:uid="{00000000-0006-0000-0100-000016000000}">
      <text>
        <r>
          <rPr>
            <b/>
            <sz val="14"/>
            <color indexed="81"/>
            <rFont val="Tahoma"/>
            <family val="2"/>
          </rPr>
          <t>NOTE:</t>
        </r>
        <r>
          <rPr>
            <sz val="14"/>
            <color indexed="81"/>
            <rFont val="Tahoma"/>
            <family val="2"/>
          </rPr>
          <t xml:space="preserve">
Station service is the electricity used in the operation of the power plant itself -- and is therefore subtracted from total production in order to calculate electricity available for sale, whether it be to the grid or to an on-site host.
Station service is also referred to as parasitic load.
This value will be site specific but reasonable inputs are likely to fall in the range of 3-17%</t>
        </r>
      </text>
    </comment>
    <comment ref="S15" authorId="2" shapeId="0" xr:uid="{00000000-0006-0000-0100-000017000000}">
      <text>
        <r>
          <rPr>
            <b/>
            <sz val="14"/>
            <color indexed="81"/>
            <rFont val="Tahoma"/>
            <family val="2"/>
          </rPr>
          <t xml:space="preserve">Note:
</t>
        </r>
        <r>
          <rPr>
            <sz val="14"/>
            <color indexed="81"/>
            <rFont val="Tahoma"/>
            <family val="2"/>
          </rPr>
          <t xml:space="preserve">To calculate a </t>
        </r>
        <r>
          <rPr>
            <b/>
            <sz val="14"/>
            <color indexed="81"/>
            <rFont val="Tahoma"/>
            <family val="2"/>
          </rPr>
          <t>nominal levelized tariff rate</t>
        </r>
        <r>
          <rPr>
            <sz val="14"/>
            <color indexed="81"/>
            <rFont val="Tahoma"/>
            <family val="2"/>
          </rPr>
          <t xml:space="preserve">, the "feed-in tariff escalation rate" field should be </t>
        </r>
        <r>
          <rPr>
            <b/>
            <sz val="14"/>
            <color indexed="81"/>
            <rFont val="Tahoma"/>
            <family val="2"/>
          </rPr>
          <t>set to zero</t>
        </r>
        <r>
          <rPr>
            <sz val="14"/>
            <color indexed="81"/>
            <rFont val="Tahoma"/>
            <family val="2"/>
          </rPr>
          <t>.</t>
        </r>
        <r>
          <rPr>
            <b/>
            <sz val="14"/>
            <color indexed="81"/>
            <rFont val="Tahoma"/>
            <family val="2"/>
          </rPr>
          <t xml:space="preserve">
</t>
        </r>
        <r>
          <rPr>
            <sz val="14"/>
            <color indexed="81"/>
            <rFont val="Tahoma"/>
            <family val="2"/>
          </rPr>
          <t xml:space="preserve">Where applied, tariff rate escalation is intended to serve as a risk mitigating tool, at least partially protecting the project investor from the uncertainty associated with the future cost of owning and operating the renewable energy facility. The escalation rate can be used to assume a year over year increase in all, or a portion, of the per unit payment provided to eligible generators. This concept is separate from inflationary adjustments to future operating cost assumptions -- which are input below.
This rate is applied annually.  Note that in this model, calendar years and tariff years are aligned.
</t>
        </r>
        <r>
          <rPr>
            <b/>
            <sz val="14"/>
            <color indexed="81"/>
            <rFont val="Tahoma"/>
            <family val="2"/>
          </rPr>
          <t>Caution:</t>
        </r>
        <r>
          <rPr>
            <sz val="14"/>
            <color indexed="81"/>
            <rFont val="Tahoma"/>
            <family val="2"/>
          </rPr>
          <t xml:space="preserve"> A value must be entered into this cell in order for the model to function properly. The input can be positive or negative (if the FIT value decreases over time), and a typical value may fall between 0% and 5%.  
</t>
        </r>
      </text>
    </comment>
    <comment ref="I16" authorId="1" shapeId="0" xr:uid="{00000000-0006-0000-0100-000018000000}">
      <text>
        <r>
          <rPr>
            <b/>
            <sz val="14"/>
            <color indexed="81"/>
            <rFont val="Tahoma"/>
            <family val="2"/>
          </rPr>
          <t>Note:</t>
        </r>
        <r>
          <rPr>
            <b/>
            <sz val="8"/>
            <color indexed="81"/>
            <rFont val="Tahoma"/>
            <family val="2"/>
          </rPr>
          <t xml:space="preserve">
</t>
        </r>
        <r>
          <rPr>
            <sz val="14"/>
            <color indexed="81"/>
            <rFont val="Tahoma"/>
            <family val="2"/>
          </rPr>
          <t>Total electricity production in year 1, measured in kWh.</t>
        </r>
      </text>
    </comment>
    <comment ref="I17" authorId="1" shapeId="0" xr:uid="{00000000-0006-0000-0100-000019000000}">
      <text>
        <r>
          <rPr>
            <b/>
            <sz val="14"/>
            <color indexed="81"/>
            <rFont val="Tahoma"/>
            <family val="2"/>
          </rPr>
          <t xml:space="preserve">Note:
</t>
        </r>
        <r>
          <rPr>
            <sz val="14"/>
            <color indexed="81"/>
            <rFont val="Tahoma"/>
            <family val="2"/>
          </rPr>
          <t>Degradation represents the decline in a fuel cell's efficiency over time.  This translates into a higher heat rate and the need to consume more fuel over time in order to achieve the same annual production.
Fuel cells are typically "restacked" every 5 to 7 years in order to return the facility to (approximately) its original operating efficiency.</t>
        </r>
        <r>
          <rPr>
            <sz val="8"/>
            <color indexed="81"/>
            <rFont val="Tahoma"/>
            <family val="2"/>
          </rPr>
          <t xml:space="preserve">
</t>
        </r>
      </text>
    </comment>
    <comment ref="S17" authorId="2" shapeId="0" xr:uid="{00000000-0006-0000-0100-00001A000000}">
      <text>
        <r>
          <rPr>
            <b/>
            <sz val="14"/>
            <color indexed="81"/>
            <rFont val="Tahoma"/>
            <family val="2"/>
          </rPr>
          <t xml:space="preserve">Note:
</t>
        </r>
        <r>
          <rPr>
            <sz val="14"/>
            <color indexed="81"/>
            <rFont val="Tahoma"/>
            <family val="2"/>
          </rPr>
          <t>If the designated "FIT Contract Length" is less than the defined "Project Useful Life", then this grouping of inputs is used to calculate the project's market-based revenue during the period from FIT contract expiration to the end of the project's life.</t>
        </r>
        <r>
          <rPr>
            <b/>
            <sz val="14"/>
            <color indexed="81"/>
            <rFont val="Tahoma"/>
            <family val="2"/>
          </rPr>
          <t xml:space="preserve">
</t>
        </r>
        <r>
          <rPr>
            <sz val="14"/>
            <color indexed="81"/>
            <rFont val="Tahoma"/>
            <family val="2"/>
          </rPr>
          <t xml:space="preserve">
</t>
        </r>
      </text>
    </comment>
    <comment ref="I18" authorId="1" shapeId="0" xr:uid="{00000000-0006-0000-0100-00001B000000}">
      <text>
        <r>
          <rPr>
            <b/>
            <sz val="14"/>
            <color indexed="81"/>
            <rFont val="Tahoma"/>
            <family val="2"/>
          </rPr>
          <t xml:space="preserve">Note:
</t>
        </r>
        <r>
          <rPr>
            <sz val="14"/>
            <color indexed="81"/>
            <rFont val="Tahoma"/>
            <family val="2"/>
          </rPr>
          <t>The estimated # of hour of operation before restacking is necessary.</t>
        </r>
      </text>
    </comment>
    <comment ref="S18" authorId="2" shapeId="0" xr:uid="{00000000-0006-0000-0100-00001C000000}">
      <text>
        <r>
          <rPr>
            <b/>
            <sz val="14"/>
            <color indexed="81"/>
            <rFont val="Tahoma"/>
            <family val="2"/>
          </rPr>
          <t xml:space="preserve">Note:
</t>
        </r>
        <r>
          <rPr>
            <sz val="14"/>
            <color indexed="81"/>
            <rFont val="Tahoma"/>
            <family val="2"/>
          </rPr>
          <t>Selecting "Year One" forecasts the total market value of production based on an estimate of that value in the project's first year of commercial operation and a user-defined escalation rate.  
Selecting "Year-by-Year" enables the user to enter unique annual values for the period after the FIT expires and before the end of the project's useful life.</t>
        </r>
        <r>
          <rPr>
            <b/>
            <sz val="14"/>
            <color indexed="81"/>
            <rFont val="Tahoma"/>
            <family val="2"/>
          </rPr>
          <t xml:space="preserve">
</t>
        </r>
        <r>
          <rPr>
            <sz val="14"/>
            <color indexed="81"/>
            <rFont val="Tahoma"/>
            <family val="2"/>
          </rPr>
          <t xml:space="preserve">
</t>
        </r>
      </text>
    </comment>
    <comment ref="I19" authorId="2" shapeId="0" xr:uid="{00000000-0006-0000-0100-00001D000000}">
      <text>
        <r>
          <rPr>
            <b/>
            <sz val="14"/>
            <color indexed="81"/>
            <rFont val="Tahoma"/>
            <family val="2"/>
          </rPr>
          <t xml:space="preserve">Note:
</t>
        </r>
        <r>
          <rPr>
            <sz val="14"/>
            <color indexed="81"/>
            <rFont val="Tahoma"/>
            <family val="2"/>
          </rPr>
          <t>The Project Useful Life is the number of years that the project is expected to be fully operational, reliably delivering electricity to the grid, and generating revenue. This concept is different from the FIT Contract Length, which is administratively determined by policymakers. These two values may be the same if a FIT contract is offered for the project's entire expected useful life. This approach is likely to generate the lowest tariff rate, while successfully attracting investors to renewable energy projects.  
The CREST model is built for a maximum Project Useful Life of 30 years.
Input must be greater than 0 and less than or equal to 30.
This value will be site specific but reasonable inputs are likely to fall in the range of 10-30 years</t>
        </r>
      </text>
    </comment>
    <comment ref="S19" authorId="2" shapeId="0" xr:uid="{00000000-0006-0000-0100-00001E000000}">
      <text>
        <r>
          <rPr>
            <b/>
            <sz val="14"/>
            <color indexed="81"/>
            <rFont val="Tahoma"/>
            <family val="2"/>
          </rPr>
          <t xml:space="preserve">Note:
</t>
        </r>
        <r>
          <rPr>
            <sz val="14"/>
            <color indexed="81"/>
            <rFont val="Tahoma"/>
            <family val="2"/>
          </rPr>
          <t xml:space="preserve">This is the </t>
        </r>
        <r>
          <rPr>
            <b/>
            <sz val="14"/>
            <color indexed="81"/>
            <rFont val="Tahoma"/>
            <family val="2"/>
          </rPr>
          <t>combined</t>
        </r>
        <r>
          <rPr>
            <sz val="14"/>
            <color indexed="81"/>
            <rFont val="Tahoma"/>
            <family val="2"/>
          </rPr>
          <t xml:space="preserve"> (or "bundled") market value of energy + capacity + Renewable Energy Credtis (RECs) in the same year in which the project's first enters commercial operation.
This input must be greater than zero.
</t>
        </r>
      </text>
    </comment>
    <comment ref="S20" authorId="2" shapeId="0" xr:uid="{00000000-0006-0000-0100-00001F000000}">
      <text>
        <r>
          <rPr>
            <b/>
            <sz val="14"/>
            <color indexed="81"/>
            <rFont val="Tahoma"/>
            <family val="2"/>
          </rPr>
          <t xml:space="preserve">Note:
</t>
        </r>
        <r>
          <rPr>
            <sz val="14"/>
            <color indexed="81"/>
            <rFont val="Tahoma"/>
            <family val="2"/>
          </rPr>
          <t xml:space="preserve">When the "Year One" forecast methodology is selected, this is the user-defined escalation rate at which the market value of production is expected to change.
Input must be greater than zero.
</t>
        </r>
      </text>
    </comment>
    <comment ref="F21" authorId="0" shapeId="0" xr:uid="{00000000-0006-0000-0100-000020000000}">
      <text>
        <r>
          <rPr>
            <b/>
            <sz val="8"/>
            <color indexed="81"/>
            <rFont val="Tahoma"/>
            <family val="2"/>
          </rPr>
          <t>See "unit" definitions at the bottom of this worksheet.</t>
        </r>
        <r>
          <rPr>
            <sz val="8"/>
            <color indexed="81"/>
            <rFont val="Tahoma"/>
            <family val="2"/>
          </rPr>
          <t xml:space="preserve">
</t>
        </r>
      </text>
    </comment>
    <comment ref="S21" authorId="2" shapeId="0" xr:uid="{00000000-0006-0000-0100-000021000000}">
      <text>
        <r>
          <rPr>
            <b/>
            <sz val="14"/>
            <color indexed="81"/>
            <rFont val="Tahoma"/>
            <family val="2"/>
          </rPr>
          <t xml:space="preserve">Note:
</t>
        </r>
        <r>
          <rPr>
            <sz val="14"/>
            <color indexed="81"/>
            <rFont val="Tahoma"/>
            <family val="2"/>
          </rPr>
          <t xml:space="preserve">When "Year-by-Year" market value of production forecast is selected, this link brings the user to another worksheet on which unique annual values may be entered.
</t>
        </r>
      </text>
    </comment>
    <comment ref="I22" authorId="2" shapeId="0" xr:uid="{00000000-0006-0000-0100-000022000000}">
      <text>
        <r>
          <rPr>
            <b/>
            <sz val="14"/>
            <color indexed="81"/>
            <rFont val="Tahoma"/>
            <family val="2"/>
          </rPr>
          <t>Note:</t>
        </r>
        <r>
          <rPr>
            <sz val="14"/>
            <color indexed="81"/>
            <rFont val="Tahoma"/>
            <family val="2"/>
          </rPr>
          <t xml:space="preserve">
This model alllows the user to input system cost at 1 of 3 levels of detail: "simple", "intermediate" or "complex." Simple offers a single input in $/kW, Intermediate offers five cost subcategories in total dollars, and Complex offers line-by-line project costing with user-defined categories and costs per line-item.  
Select your preferred method and use the cells below to enter your cost information. If you choose the "Complex" option, you will need to follow the link below to the "Complex Capital Costs" tab.</t>
        </r>
      </text>
    </comment>
    <comment ref="I23" authorId="2" shapeId="0" xr:uid="{00000000-0006-0000-0100-000023000000}">
      <text>
        <r>
          <rPr>
            <b/>
            <sz val="14"/>
            <color indexed="81"/>
            <rFont val="Tahoma"/>
            <family val="2"/>
          </rPr>
          <t>Note:</t>
        </r>
        <r>
          <rPr>
            <sz val="14"/>
            <color indexed="81"/>
            <rFont val="Tahoma"/>
            <family val="2"/>
          </rPr>
          <t xml:space="preserve">
When "Simple" is selected in the Cost Level of Detail cell, this "Total Installed Cost" row represents the total expected all-in project cost, which should include all hardware, balance of plant, interconnection, design, construction, permitting, development (including developer fee), interest during construction and financing costs. This figure should not account for any tax incentives, grants, or other cash incentives, each of which will be addressed elsewhere in the model. This figure should, however, reflect any applicable sales tax or exemptions thereof.
Input must be greater than zero.
</t>
        </r>
      </text>
    </comment>
    <comment ref="P23" authorId="0" shapeId="0" xr:uid="{00000000-0006-0000-0100-000024000000}">
      <text>
        <r>
          <rPr>
            <b/>
            <sz val="8"/>
            <color indexed="81"/>
            <rFont val="Tahoma"/>
            <family val="2"/>
          </rPr>
          <t>See "unit" definitions at the bottom of this worksheet.</t>
        </r>
        <r>
          <rPr>
            <sz val="8"/>
            <color indexed="81"/>
            <rFont val="Tahoma"/>
            <family val="2"/>
          </rPr>
          <t xml:space="preserve">
</t>
        </r>
      </text>
    </comment>
    <comment ref="I24" authorId="2" shapeId="0" xr:uid="{00000000-0006-0000-0100-000025000000}">
      <text>
        <r>
          <rPr>
            <b/>
            <sz val="14"/>
            <color indexed="81"/>
            <rFont val="Tahoma"/>
            <family val="2"/>
          </rPr>
          <t>Note:</t>
        </r>
        <r>
          <rPr>
            <sz val="14"/>
            <color indexed="81"/>
            <rFont val="Tahoma"/>
            <family val="2"/>
          </rPr>
          <t xml:space="preserve">
"Generation Equipment" should include all hardware related to the generator.  
Caution: the model assumes that if "Intermediate" is selected as the level of detail section, the "Generation Equipment" row must have a value greater than zero. 
</t>
        </r>
      </text>
    </comment>
    <comment ref="S24" authorId="0" shapeId="0" xr:uid="{00000000-0006-0000-0100-000026000000}">
      <text>
        <r>
          <rPr>
            <b/>
            <sz val="14"/>
            <color indexed="81"/>
            <rFont val="Tahoma"/>
            <family val="2"/>
          </rPr>
          <t xml:space="preserve">Note:
</t>
        </r>
        <r>
          <rPr>
            <sz val="14"/>
            <color indexed="81"/>
            <rFont val="Tahoma"/>
            <family val="2"/>
          </rPr>
          <t>This drop-down input cell allows the user to specify whether federal incentives are cost-based (e.g. an investment tax credit) or performance-based (e.g. a PTC). The magnitude and terms of these incentives are set in the cells below.
For more information, a useful resource for researching federal and state incentives online is:  
http://dsireusa.org/
*See bottom of introduction page for a list of links</t>
        </r>
      </text>
    </comment>
    <comment ref="I25" authorId="2" shapeId="0" xr:uid="{00000000-0006-0000-0100-000027000000}">
      <text>
        <r>
          <rPr>
            <b/>
            <sz val="14"/>
            <color indexed="81"/>
            <rFont val="Tahoma"/>
            <family val="2"/>
          </rPr>
          <t>Note:</t>
        </r>
        <r>
          <rPr>
            <sz val="14"/>
            <color indexed="81"/>
            <rFont val="Tahoma"/>
            <family val="2"/>
          </rPr>
          <t xml:space="preserve">
Balance of Plant (also known as Balance of System) represents all infrastructure, site prep and labor supporting the installation of the generation equipment. BOP costs include foundations, mounting devices, other hardware, and labor not already accounted for in the "Generation Equipment" row.
Input cannot be less than zero.
</t>
        </r>
      </text>
    </comment>
    <comment ref="S25" authorId="2" shapeId="0" xr:uid="{00000000-0006-0000-0100-000028000000}">
      <text>
        <r>
          <rPr>
            <b/>
            <sz val="14"/>
            <color indexed="81"/>
            <rFont val="Tahoma"/>
            <family val="2"/>
          </rPr>
          <t xml:space="preserve">Note:
</t>
        </r>
        <r>
          <rPr>
            <sz val="14"/>
            <color indexed="81"/>
            <rFont val="Tahoma"/>
            <family val="2"/>
          </rPr>
          <t>Some renewable energy projects may be eligible to take advantage of Federal incentives such as the Investment Tax Credit or a cash payment from the Treasury Grant in lieu of the ITC (under Section 1603). 
The CREST model assumes that the ITC or Section 1603 cash grant, as applicable, flows to the project's equity provider in the first commercial operation year - rather than reducing the project's assumed initial installed cost.  The exception to this rule occurs when "carried forward" is selected in the Tax section.  In this case, net operating losses are rolled forward while the tax benefits are used internally by the project.
Information on eligibility for funding opportunities such as these is available online at:
http://dsireusa.org/incentives/incentive.cfm?Incentive_Code=US02F&amp;re=1&amp;ee=1
*See bottom of introduction page for a list of links</t>
        </r>
        <r>
          <rPr>
            <b/>
            <sz val="14"/>
            <color indexed="81"/>
            <rFont val="Tahoma"/>
            <family val="2"/>
          </rPr>
          <t xml:space="preserve">
</t>
        </r>
        <r>
          <rPr>
            <sz val="14"/>
            <color indexed="81"/>
            <rFont val="Tahoma"/>
            <family val="2"/>
          </rPr>
          <t xml:space="preserve">
</t>
        </r>
      </text>
    </comment>
    <comment ref="I26" authorId="2" shapeId="0" xr:uid="{00000000-0006-0000-0100-000029000000}">
      <text>
        <r>
          <rPr>
            <b/>
            <sz val="14"/>
            <color indexed="81"/>
            <rFont val="Tahoma"/>
            <family val="2"/>
          </rPr>
          <t>Note:</t>
        </r>
        <r>
          <rPr>
            <sz val="14"/>
            <color indexed="81"/>
            <rFont val="Tahoma"/>
            <family val="2"/>
          </rPr>
          <t xml:space="preserve">
The "Interconnection" row should account for all project costs relating to connecting to the grid, such as the construction of transmission lines, permitting costs with the utility, and start-up costs. This category will also include the cost of a new substation, if necessary.
Regulators wishing to explore the potential that interconnection costs may be recovered from ratepayers separately can elect to enter zeros in this cost category whenever "Intermediate" or "Complex" is selected.
Input cannot be less than zero.
</t>
        </r>
      </text>
    </comment>
    <comment ref="S26" authorId="0" shapeId="0" xr:uid="{00000000-0006-0000-0100-00002A000000}">
      <text>
        <r>
          <rPr>
            <b/>
            <sz val="14"/>
            <color indexed="81"/>
            <rFont val="Tahoma"/>
            <family val="2"/>
          </rPr>
          <t xml:space="preserve">NOTE:
</t>
        </r>
        <r>
          <rPr>
            <sz val="14"/>
            <color indexed="81"/>
            <rFont val="Tahoma"/>
            <family val="2"/>
          </rPr>
          <t xml:space="preserve">The maximum potential Investment Tax Credit (ITC) benefit is assumed to be 30% of those project costs which are depreciable on the 5-year MACRS schedule.  This 'eligible costs' assumption is purposefully simplified for this analysis.  Project costs depreciated on other bases may also be eligible for the ITC.  Developers should consult with tax counsel for project-specific depreciation and ITC treatment of each project cost.
</t>
        </r>
        <r>
          <rPr>
            <sz val="8"/>
            <color indexed="81"/>
            <rFont val="Tahoma"/>
            <family val="2"/>
          </rPr>
          <t xml:space="preserve">
</t>
        </r>
      </text>
    </comment>
    <comment ref="I27" authorId="2" shapeId="0" xr:uid="{00000000-0006-0000-0100-00002B000000}">
      <text>
        <r>
          <rPr>
            <b/>
            <sz val="14"/>
            <color indexed="81"/>
            <rFont val="Tahoma"/>
            <family val="2"/>
          </rPr>
          <t>Note:</t>
        </r>
        <r>
          <rPr>
            <sz val="8"/>
            <color indexed="81"/>
            <rFont val="Tahoma"/>
            <family val="2"/>
          </rPr>
          <t xml:space="preserve">
</t>
        </r>
        <r>
          <rPr>
            <sz val="14"/>
            <color indexed="81"/>
            <rFont val="Tahoma"/>
            <family val="2"/>
          </rPr>
          <t xml:space="preserve">The "Development Costs" row should include all costs relating to project management, studies, engineering, permitting, contingencies, success fees, and other soft costs not accounted for elsewhere in the "Intermediate" cost breakdown. 
Input cannot be less than zero.
</t>
        </r>
      </text>
    </comment>
    <comment ref="I28" authorId="2" shapeId="0" xr:uid="{00000000-0006-0000-0100-00002C000000}">
      <text>
        <r>
          <rPr>
            <b/>
            <sz val="14"/>
            <color indexed="81"/>
            <rFont val="Tahoma"/>
            <family val="2"/>
          </rPr>
          <t>Note:</t>
        </r>
        <r>
          <rPr>
            <sz val="14"/>
            <color indexed="81"/>
            <rFont val="Tahoma"/>
            <family val="2"/>
          </rPr>
          <t xml:space="preserve">
The "Reserves &amp; Financing Costs" row accounts for all costs relating to financing, such as lender fees, closing costs, legal fees, interest during construction, due diligence costs, and any other relevant, financing relating costs. The model calculates this field by aggregating G22 through G25, G51, G54, G63, G66, Q57 and Q60.
</t>
        </r>
      </text>
    </comment>
    <comment ref="S28" authorId="0" shapeId="0" xr:uid="{00000000-0006-0000-0100-00002D000000}">
      <text>
        <r>
          <rPr>
            <b/>
            <sz val="14"/>
            <color indexed="81"/>
            <rFont val="Tahoma"/>
            <family val="2"/>
          </rPr>
          <t xml:space="preserve">Note:
</t>
        </r>
        <r>
          <rPr>
            <sz val="14"/>
            <color indexed="81"/>
            <rFont val="Tahoma"/>
            <family val="2"/>
          </rPr>
          <t xml:space="preserve">Calculates the dollar value of the Investment Tax Credit or Cash Grant, if applicable.
</t>
        </r>
      </text>
    </comment>
    <comment ref="I29" authorId="2" shapeId="0" xr:uid="{00000000-0006-0000-0100-00002E000000}">
      <text>
        <r>
          <rPr>
            <b/>
            <sz val="14"/>
            <color indexed="81"/>
            <rFont val="Tahoma"/>
            <family val="2"/>
          </rPr>
          <t>Note:</t>
        </r>
        <r>
          <rPr>
            <sz val="14"/>
            <color indexed="81"/>
            <rFont val="Tahoma"/>
            <family val="2"/>
          </rPr>
          <t xml:space="preserve">
If you wish to enter your project costs under the "Complex" format, select Complex from the drop-down menu and use the link to the left to access additional worksheets which provide the opportunitiy to add significant, additional detail on project costs. Once complete, the model will roll up the detailed costs and populate this row with the resultant final project cost. </t>
        </r>
      </text>
    </comment>
    <comment ref="S29" authorId="0" shapeId="0" xr:uid="{00000000-0006-0000-0100-00002F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30" authorId="2" shapeId="0" xr:uid="{00000000-0006-0000-0100-000030000000}">
      <text>
        <r>
          <rPr>
            <b/>
            <sz val="14"/>
            <color indexed="81"/>
            <rFont val="Tahoma"/>
            <family val="2"/>
          </rPr>
          <t>Note:</t>
        </r>
        <r>
          <rPr>
            <sz val="14"/>
            <color indexed="81"/>
            <rFont val="Tahoma"/>
            <family val="2"/>
          </rPr>
          <t xml:space="preserve">
The total system cost is a calculation, based on the level of detail selected and the assocated inputs.
</t>
        </r>
      </text>
    </comment>
    <comment ref="S30" authorId="0" shapeId="0" xr:uid="{00000000-0006-0000-0100-000031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I31" authorId="2" shapeId="0" xr:uid="{00000000-0006-0000-0100-000032000000}">
      <text>
        <r>
          <rPr>
            <b/>
            <sz val="14"/>
            <color indexed="81"/>
            <rFont val="Tahoma"/>
            <family val="2"/>
          </rPr>
          <t>Note:</t>
        </r>
        <r>
          <rPr>
            <sz val="14"/>
            <color indexed="81"/>
            <rFont val="Tahoma"/>
            <family val="2"/>
          </rPr>
          <t xml:space="preserve">
Calculation based on the total system cost in the cell above and the system size reported. 
This value will be site specific but reasonable inputs are likely to fall in the range of $3,000-$12,000</t>
        </r>
        <r>
          <rPr>
            <sz val="8"/>
            <color indexed="81"/>
            <rFont val="Tahoma"/>
            <family val="2"/>
          </rPr>
          <t xml:space="preserve">
</t>
        </r>
      </text>
    </comment>
    <comment ref="S32" authorId="0" shapeId="0" xr:uid="{00000000-0006-0000-0100-000033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F33" authorId="0" shapeId="0" xr:uid="{00000000-0006-0000-0100-000034000000}">
      <text>
        <r>
          <rPr>
            <b/>
            <sz val="8"/>
            <color indexed="81"/>
            <rFont val="Tahoma"/>
            <family val="2"/>
          </rPr>
          <t>See "unit" definitions at the bottom of this worksheet.</t>
        </r>
        <r>
          <rPr>
            <sz val="8"/>
            <color indexed="81"/>
            <rFont val="Tahoma"/>
            <family val="2"/>
          </rPr>
          <t xml:space="preserve">
</t>
        </r>
      </text>
    </comment>
    <comment ref="S33" authorId="0" shapeId="0" xr:uid="{00000000-0006-0000-0100-000035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r>
          <rPr>
            <sz val="8"/>
            <color indexed="81"/>
            <rFont val="Tahoma"/>
            <family val="2"/>
          </rPr>
          <t xml:space="preserve">
</t>
        </r>
      </text>
    </comment>
    <comment ref="I34" authorId="0" shapeId="0" xr:uid="{00000000-0006-0000-0100-000036000000}">
      <text>
        <r>
          <rPr>
            <b/>
            <sz val="14"/>
            <color indexed="81"/>
            <rFont val="Tahoma"/>
            <family val="2"/>
          </rPr>
          <t>Note:</t>
        </r>
        <r>
          <rPr>
            <sz val="14"/>
            <color indexed="81"/>
            <rFont val="Tahoma"/>
            <family val="2"/>
          </rPr>
          <t xml:space="preserve">
Select either "Simple" or "Intermediate" O&amp;M expense detail using the drop-down menu to the right.
</t>
        </r>
        <r>
          <rPr>
            <sz val="8"/>
            <color indexed="81"/>
            <rFont val="Tahoma"/>
            <family val="2"/>
          </rPr>
          <t xml:space="preserve">
</t>
        </r>
      </text>
    </comment>
    <comment ref="S34" authorId="2" shapeId="0" xr:uid="{00000000-0006-0000-0100-000037000000}">
      <text>
        <r>
          <rPr>
            <b/>
            <sz val="14"/>
            <color indexed="81"/>
            <rFont val="Tahoma"/>
            <family val="2"/>
          </rPr>
          <t xml:space="preserve">Note:
</t>
        </r>
        <r>
          <rPr>
            <sz val="14"/>
            <color indexed="81"/>
            <rFont val="Tahoma"/>
            <family val="2"/>
          </rPr>
          <t xml:space="preserve">Some renewable energy projects may be eligible for other federal grants as well, such as funding from the U.S. Department of Agriculture. This input cell can be used to capture those funding opportunities, some of which are outlined online at:
http://dsireusa.org/incentives/index.cfm?state=us&amp;re=1&amp;EE=1
*See bottom of introduction page for a list of links
Input cannot be less than zero.
</t>
        </r>
      </text>
    </comment>
    <comment ref="I35" authorId="2" shapeId="0" xr:uid="{00000000-0006-0000-0100-000038000000}">
      <text>
        <r>
          <rPr>
            <b/>
            <sz val="14"/>
            <color indexed="81"/>
            <rFont val="Tahoma"/>
            <family val="2"/>
          </rPr>
          <t>Note:</t>
        </r>
        <r>
          <rPr>
            <sz val="14"/>
            <color indexed="81"/>
            <rFont val="Tahoma"/>
            <family val="2"/>
          </rPr>
          <t xml:space="preserve">
If "Simple" is selected in the cell above, then this input should reflect the </t>
        </r>
        <r>
          <rPr>
            <b/>
            <u/>
            <sz val="14"/>
            <color indexed="81"/>
            <rFont val="Tahoma"/>
            <family val="2"/>
          </rPr>
          <t>total</t>
        </r>
        <r>
          <rPr>
            <sz val="14"/>
            <color indexed="81"/>
            <rFont val="Tahoma"/>
            <family val="2"/>
          </rPr>
          <t xml:space="preserve"> expected </t>
        </r>
        <r>
          <rPr>
            <b/>
            <u/>
            <sz val="14"/>
            <color indexed="81"/>
            <rFont val="Tahoma"/>
            <family val="2"/>
          </rPr>
          <t>fixed</t>
        </r>
        <r>
          <rPr>
            <sz val="14"/>
            <color indexed="81"/>
            <rFont val="Tahoma"/>
            <family val="2"/>
          </rPr>
          <t xml:space="preserve"> cost of project operations and maintenance, in $/kW-yr.  This </t>
        </r>
        <r>
          <rPr>
            <u/>
            <sz val="14"/>
            <color indexed="81"/>
            <rFont val="Tahoma"/>
            <family val="2"/>
          </rPr>
          <t>includes</t>
        </r>
        <r>
          <rPr>
            <sz val="14"/>
            <color indexed="81"/>
            <rFont val="Tahoma"/>
            <family val="2"/>
          </rPr>
          <t xml:space="preserve"> the insurance, project management, property tax (or payment in lieu thereof), land lease, and royalty expenses which would have been broken out separately in the "Intermediate" case.  Other labor, spare parts and consumables - such as catalysts and absorbents - should also be included in this estimate.
If the user has obtained O&amp;M expense estimates from a third-party, it is critical to understand which costs have been included.  If the user is not certain that all of the above-listed expenses are included in the fixed cost estimate, then the "Intermediate" approach should be used and these expenses should be entered separately.
If "Intermediate" is selected, then this input should reflect  the expected annual fixed O&amp;M cost before taking into account the additional listed expenses, which are entered below. 
In all cases, fixed O&amp;M would include - among others - the ongoing cost of obtaining daily, weekly or monthly production estimates based on weather and other factors.
Input value must be greater than zero. 
This value will be site specific but reasonable inputs are likely to fall in the range of $125-$300
</t>
        </r>
      </text>
    </comment>
    <comment ref="S35" authorId="0" shapeId="0" xr:uid="{00000000-0006-0000-0100-000039000000}">
      <text>
        <r>
          <rPr>
            <b/>
            <sz val="14"/>
            <color indexed="81"/>
            <rFont val="Tahoma"/>
            <family val="2"/>
          </rPr>
          <t xml:space="preserve">Note:
</t>
        </r>
        <r>
          <rPr>
            <sz val="14"/>
            <color indexed="81"/>
            <rFont val="Tahoma"/>
            <family val="2"/>
          </rPr>
          <t xml:space="preserve">Select here whether federal grants (other than the section 1603 payment in lieu of the ITC/PTC) are treated as taxable income. If no, depreciation basis is reduced. 
</t>
        </r>
      </text>
    </comment>
    <comment ref="I36" authorId="2" shapeId="0" xr:uid="{00000000-0006-0000-0100-00003A000000}">
      <text>
        <r>
          <rPr>
            <b/>
            <sz val="14"/>
            <color indexed="81"/>
            <rFont val="Tahoma"/>
            <family val="2"/>
          </rPr>
          <t>Note:</t>
        </r>
        <r>
          <rPr>
            <sz val="14"/>
            <color indexed="81"/>
            <rFont val="Tahoma"/>
            <family val="2"/>
          </rPr>
          <t xml:space="preserve">
This cell provides the user with the option of accounting for O&amp;M expenses (such as labor and spare parts) which are more easily estimated and modeled on a variable, cents per kWh basis.  
If "Simple" is selected above, then this cell should also take into account variable costs, such as royalties, </t>
        </r>
        <r>
          <rPr>
            <b/>
            <u/>
            <sz val="14"/>
            <color indexed="81"/>
            <rFont val="Tahoma"/>
            <family val="2"/>
          </rPr>
          <t>if</t>
        </r>
        <r>
          <rPr>
            <sz val="14"/>
            <color indexed="81"/>
            <rFont val="Tahoma"/>
            <family val="2"/>
          </rPr>
          <t xml:space="preserve"> such annual expenses are not already accounted for in the fixed cost input above.
Input cannot be less than zero and will vary by project.
</t>
        </r>
      </text>
    </comment>
    <comment ref="I37" authorId="0" shapeId="0" xr:uid="{00000000-0006-0000-0100-00003B000000}">
      <text>
        <r>
          <rPr>
            <b/>
            <sz val="14"/>
            <color indexed="81"/>
            <rFont val="Tahoma"/>
            <family val="2"/>
          </rPr>
          <t>Note:</t>
        </r>
        <r>
          <rPr>
            <sz val="14"/>
            <color indexed="81"/>
            <rFont val="Tahoma"/>
            <family val="2"/>
          </rPr>
          <t xml:space="preserve">
This inflation rate applies to both fixed and variable O&amp;M expense, insurance, and project management costs entered above, if applicable. 
The model allows the user to specify an inflation assumption for an "initial period" and a second inflation assumption "thereafter." These inputs can be used to account for inflation which might be fixed during an initial O&amp;M service contract, but are unknown thereafter.  The final year of the "initial period" is  user-defined (e.g. final year of an O&amp;M service contract). 
The purpose of this feature is also to recognize that inflationary trends may change over time, or that some projects may not expect inflation of O&amp;M expenses for the first several years, but may expect inflation thereafter.
This inflation rate does not apply to PILOT or Royalty costs. Input cannot be less than zero.
</t>
        </r>
      </text>
    </comment>
    <comment ref="P37" authorId="0" shapeId="0" xr:uid="{00000000-0006-0000-0100-00003C000000}">
      <text>
        <r>
          <rPr>
            <b/>
            <sz val="8"/>
            <color indexed="81"/>
            <rFont val="Tahoma"/>
            <family val="2"/>
          </rPr>
          <t>See "unit" definitions at the bottom of this worksheet.</t>
        </r>
        <r>
          <rPr>
            <sz val="8"/>
            <color indexed="81"/>
            <rFont val="Tahoma"/>
            <family val="2"/>
          </rPr>
          <t xml:space="preserve">
</t>
        </r>
      </text>
    </comment>
    <comment ref="I38" authorId="0" shapeId="0" xr:uid="{00000000-0006-0000-0100-00003D000000}">
      <text>
        <r>
          <rPr>
            <b/>
            <sz val="14"/>
            <color indexed="81"/>
            <rFont val="Tahoma"/>
            <family val="2"/>
          </rPr>
          <t xml:space="preserve">Note:
</t>
        </r>
        <r>
          <rPr>
            <sz val="14"/>
            <color indexed="81"/>
            <rFont val="Tahoma"/>
            <family val="2"/>
          </rPr>
          <t xml:space="preserve">This feature allows the user to assume that the rate at which expenses change over time is not constant. This cell provides the year in which the first inflation period ends.
Input cannot be less than zero.
</t>
        </r>
      </text>
    </comment>
    <comment ref="S38" authorId="2" shapeId="0" xr:uid="{00000000-0006-0000-0100-00003E000000}">
      <text>
        <r>
          <rPr>
            <b/>
            <sz val="14"/>
            <color indexed="81"/>
            <rFont val="Tahoma"/>
            <family val="2"/>
          </rPr>
          <t xml:space="preserve">Note:
</t>
        </r>
        <r>
          <rPr>
            <sz val="14"/>
            <color indexed="81"/>
            <rFont val="Tahoma"/>
            <family val="2"/>
          </rPr>
          <t>This drop-down input cell allows the user to specify whether state, utility, or other local incentives are cost-based (e.g. an investment tax credit) or performance-based (e.g. a PTC, Renewable Energy Credit (REC) or other cash payment). If no state incentive is available or useable by the modeled project, the user will select "Neither." The magnitude and terms of these incentives are set in the cells below.
For more information, a useful resource for researching federal and state incentives online is:  
http://dsireusa.org/
*See bottom of introduction page for a list of links</t>
        </r>
      </text>
    </comment>
    <comment ref="I39" authorId="0" shapeId="0" xr:uid="{00000000-0006-0000-0100-00003F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S39" authorId="0" shapeId="0" xr:uid="{00000000-0006-0000-0100-000040000000}">
      <text>
        <r>
          <rPr>
            <b/>
            <sz val="14"/>
            <color indexed="81"/>
            <rFont val="Tahoma"/>
            <family val="2"/>
          </rPr>
          <t xml:space="preserve">NOTE:
</t>
        </r>
        <r>
          <rPr>
            <sz val="14"/>
            <color indexed="81"/>
            <rFont val="Tahoma"/>
            <family val="2"/>
          </rPr>
          <t>The maximum potential Investment Tax Credit (ITC) benefit is assumed to be 30% of those project costs which are depreciable on the 5-year MACRS schedule.
Note that the state investment tax credit can only be applied to state-specific income tax liability.</t>
        </r>
      </text>
    </comment>
    <comment ref="I40" authorId="2" shapeId="0" xr:uid="{00000000-0006-0000-0100-000041000000}">
      <text>
        <r>
          <rPr>
            <b/>
            <sz val="14"/>
            <color indexed="81"/>
            <rFont val="Tahoma"/>
            <family val="2"/>
          </rPr>
          <t xml:space="preserve">Note:
</t>
        </r>
        <r>
          <rPr>
            <sz val="14"/>
            <color indexed="81"/>
            <rFont val="Tahoma"/>
            <family val="2"/>
          </rPr>
          <t xml:space="preserve">Project owners, or hosts, are required to carry insurance. This input accounts for the estimated cost of insuring the modeled power generating facility.
Input cannot be less than zero.
This value will be site specific but reasonable inputs are likely to fall in the range of 0%-2%
</t>
        </r>
      </text>
    </comment>
    <comment ref="I41" authorId="0" shapeId="0" xr:uid="{00000000-0006-0000-0100-000042000000}">
      <text>
        <r>
          <rPr>
            <b/>
            <sz val="14"/>
            <color indexed="81"/>
            <rFont val="Tahoma"/>
            <family val="2"/>
          </rPr>
          <t xml:space="preserve">Note:
</t>
        </r>
        <r>
          <rPr>
            <sz val="14"/>
            <color indexed="81"/>
            <rFont val="Tahoma"/>
            <family val="2"/>
          </rPr>
          <t xml:space="preserve">This cell calculates the resulting dollar value cost of insurance based on the input above and the project installed cost (net of financing costs).  It is provided simply as a reference for the user.
</t>
        </r>
        <r>
          <rPr>
            <sz val="8"/>
            <color indexed="81"/>
            <rFont val="Tahoma"/>
            <family val="2"/>
          </rPr>
          <t xml:space="preserve">
</t>
        </r>
      </text>
    </comment>
    <comment ref="S41" authorId="0" shapeId="0" xr:uid="{00000000-0006-0000-0100-000043000000}">
      <text>
        <r>
          <rPr>
            <b/>
            <sz val="14"/>
            <color indexed="81"/>
            <rFont val="Tahoma"/>
            <family val="2"/>
          </rPr>
          <t xml:space="preserve">Note:
</t>
        </r>
        <r>
          <rPr>
            <sz val="14"/>
            <color indexed="81"/>
            <rFont val="Tahoma"/>
            <family val="2"/>
          </rPr>
          <t>Specifies whether the available ITC is realized in a single year or over multiple years. This input will be specified by state-specific law or regulation.
A good resource on available state incentives is:  
http://dsireusa.org/
*See bottom of introduction page for a list of links
Input must be greater than 1 and less than the Project Useful Life.</t>
        </r>
      </text>
    </comment>
    <comment ref="I42" authorId="2" shapeId="0" xr:uid="{00000000-0006-0000-0100-000044000000}">
      <text>
        <r>
          <rPr>
            <b/>
            <sz val="14"/>
            <color indexed="81"/>
            <rFont val="Tahoma"/>
            <family val="2"/>
          </rPr>
          <t>Note:</t>
        </r>
        <r>
          <rPr>
            <sz val="14"/>
            <color indexed="81"/>
            <rFont val="Tahoma"/>
            <family val="2"/>
          </rPr>
          <t xml:space="preserve">
"Project Management" accounts for the cost of staff time related to managing the project's Power Purchase Agreements, grid integration, and periodic reporting to the system operator and policymakers.  
Input cannot be less than zero.
This value will be site specific but reasonable inputs are likely to fall in the range of $0-$150,000
</t>
        </r>
      </text>
    </comment>
    <comment ref="S42" authorId="0" shapeId="0" xr:uid="{00000000-0006-0000-0100-000045000000}">
      <text>
        <r>
          <rPr>
            <b/>
            <sz val="14"/>
            <color indexed="81"/>
            <rFont val="Tahoma"/>
            <family val="2"/>
          </rPr>
          <t xml:space="preserve">Note:
</t>
        </r>
        <r>
          <rPr>
            <sz val="14"/>
            <color indexed="81"/>
            <rFont val="Tahoma"/>
            <family val="2"/>
          </rPr>
          <t xml:space="preserve">Calculates the dollar value of the State Investment Tax Credit, if applicable.
</t>
        </r>
      </text>
    </comment>
    <comment ref="I43" authorId="2" shapeId="0" xr:uid="{00000000-0006-0000-0100-000046000000}">
      <text>
        <r>
          <rPr>
            <b/>
            <sz val="14"/>
            <color indexed="81"/>
            <rFont val="Tahoma"/>
            <family val="2"/>
          </rPr>
          <t>Note:</t>
        </r>
        <r>
          <rPr>
            <sz val="14"/>
            <color indexed="81"/>
            <rFont val="Tahoma"/>
            <family val="2"/>
          </rPr>
          <t xml:space="preserve">
This value will be market-based and will change both with time and with location.
This input is expressed $/MMBtu.
Input cannot be less than zero.
</t>
        </r>
      </text>
    </comment>
    <comment ref="S43" authorId="0" shapeId="0" xr:uid="{00000000-0006-0000-0100-000047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44" authorId="0" shapeId="0" xr:uid="{00000000-0006-0000-0100-000048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S44" authorId="0" shapeId="0" xr:uid="{00000000-0006-0000-0100-000049000000}">
      <text>
        <r>
          <rPr>
            <b/>
            <sz val="14"/>
            <color indexed="81"/>
            <rFont val="Tahoma"/>
            <family val="2"/>
          </rPr>
          <t xml:space="preserve">Note:
</t>
        </r>
        <r>
          <rPr>
            <sz val="14"/>
            <color indexed="81"/>
            <rFont val="Tahoma"/>
            <family val="2"/>
          </rPr>
          <t xml:space="preserve">Enter here the annual dollar value ("cap") of any state-specific production incentive.
</t>
        </r>
        <r>
          <rPr>
            <b/>
            <sz val="16"/>
            <color indexed="81"/>
            <rFont val="Tahoma"/>
            <family val="2"/>
          </rPr>
          <t>If no cap exists, enter zero.</t>
        </r>
        <r>
          <rPr>
            <sz val="14"/>
            <color indexed="81"/>
            <rFont val="Tahoma"/>
            <family val="2"/>
          </rPr>
          <t xml:space="preserve">
Input cannot be less than zero.
</t>
        </r>
      </text>
    </comment>
    <comment ref="I45" authorId="2" shapeId="0" xr:uid="{00000000-0006-0000-0100-00004A000000}">
      <text>
        <r>
          <rPr>
            <b/>
            <sz val="14"/>
            <color indexed="81"/>
            <rFont val="Tahoma"/>
            <family val="2"/>
          </rPr>
          <t xml:space="preserve">Note:
</t>
        </r>
        <r>
          <rPr>
            <sz val="14"/>
            <color indexed="81"/>
            <rFont val="Tahoma"/>
            <family val="2"/>
          </rPr>
          <t>"Property Tax or PILOT" accounts for costs associated with any local taxes incurred by the project. Many states offer tax exemptions for renewable energy systems; to check your local applicability, please visit: http://dsireusa.org/ 
This line can also be used to account for any PILOTs or Payment in Leiu of Taxes. Developers often negotiate a PILOT with the local community to secure a fixed, predictable payment that serves both parties appropriately. This model allows the user to input a year-one Property Tax or PILOT value along with an annual property tax adjsutment factor (see next cell down). As a result, taxes can be modeled as flat, increasing, or decreasing annually depending on the value entered in the adjustment factor cell below.
Input cannot be less than zero.
This value will be site specific.</t>
        </r>
      </text>
    </comment>
    <comment ref="S45" authorId="0" shapeId="0" xr:uid="{00000000-0006-0000-0100-00004B000000}">
      <text>
        <r>
          <rPr>
            <b/>
            <sz val="14"/>
            <color indexed="81"/>
            <rFont val="Tahoma"/>
            <family val="2"/>
          </rPr>
          <t xml:space="preserve">Note:
</t>
        </r>
        <r>
          <rPr>
            <sz val="14"/>
            <color indexed="81"/>
            <rFont val="Tahoma"/>
            <family val="2"/>
          </rPr>
          <t xml:space="preserve">Impacts tax treatment of PBI if owner is a taxable entity.
</t>
        </r>
      </text>
    </comment>
    <comment ref="I46" authorId="2" shapeId="0" xr:uid="{00000000-0006-0000-0100-00004C000000}">
      <text>
        <r>
          <rPr>
            <b/>
            <sz val="14"/>
            <color indexed="81"/>
            <rFont val="Tahoma"/>
            <family val="2"/>
          </rPr>
          <t xml:space="preserve">Note:
</t>
        </r>
        <r>
          <rPr>
            <sz val="14"/>
            <color indexed="81"/>
            <rFont val="Tahoma"/>
            <family val="2"/>
          </rPr>
          <t xml:space="preserve">The Annual Property Tax Adjustment Factor allows the user to specify whether the Year One tax (or PILOT) value will remain fixed and flat, will decrease (a negative percentage value entered in this cell) or increase (a positive percentage value entered in this cell) over time.  </t>
        </r>
        <r>
          <rPr>
            <sz val="8"/>
            <color indexed="81"/>
            <rFont val="Tahoma"/>
            <family val="2"/>
          </rPr>
          <t xml:space="preserve">
</t>
        </r>
      </text>
    </comment>
    <comment ref="S46" authorId="0" shapeId="0" xr:uid="{00000000-0006-0000-0100-00004D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I47" authorId="2" shapeId="0" xr:uid="{00000000-0006-0000-0100-00004E000000}">
      <text>
        <r>
          <rPr>
            <b/>
            <sz val="14"/>
            <color indexed="81"/>
            <rFont val="Tahoma"/>
            <family val="2"/>
          </rPr>
          <t xml:space="preserve">Note:
</t>
        </r>
        <r>
          <rPr>
            <sz val="14"/>
            <color indexed="81"/>
            <rFont val="Tahoma"/>
            <family val="2"/>
          </rPr>
          <t xml:space="preserve">The Land Lease input represents </t>
        </r>
        <r>
          <rPr>
            <b/>
            <u/>
            <sz val="14"/>
            <color indexed="81"/>
            <rFont val="Tahoma"/>
            <family val="2"/>
          </rPr>
          <t>fixed payments</t>
        </r>
        <r>
          <rPr>
            <sz val="14"/>
            <color indexed="81"/>
            <rFont val="Tahoma"/>
            <family val="2"/>
          </rPr>
          <t xml:space="preserve"> to the site host (and possibly other affected parties) for the use of the land on which the project is located.  
Variable royalty payments may be applied in addition to, or in lieu of, the land lease payment through the "Royalties" input below, if applicable.  
Input cannot be less than zero.
This value will be site specific.</t>
        </r>
      </text>
    </comment>
    <comment ref="I48" authorId="2" shapeId="0" xr:uid="{00000000-0006-0000-0100-00004F000000}">
      <text>
        <r>
          <rPr>
            <b/>
            <sz val="14"/>
            <color indexed="81"/>
            <rFont val="Tahoma"/>
            <family val="2"/>
          </rPr>
          <t xml:space="preserve">Note:
</t>
        </r>
        <r>
          <rPr>
            <sz val="14"/>
            <color indexed="81"/>
            <rFont val="Tahoma"/>
            <family val="2"/>
          </rPr>
          <t xml:space="preserve">The royalties input accounts for </t>
        </r>
        <r>
          <rPr>
            <b/>
            <u/>
            <sz val="14"/>
            <color indexed="81"/>
            <rFont val="Tahoma"/>
            <family val="2"/>
          </rPr>
          <t>variable</t>
        </r>
        <r>
          <rPr>
            <sz val="14"/>
            <color indexed="81"/>
            <rFont val="Tahoma"/>
            <family val="2"/>
          </rPr>
          <t xml:space="preserve"> payments to site hosts, neighbors, partners, or other parties which may have a stake in the project and which are NOT covered by the fixed "Land Lease" payment. 
Fixed payments may be applied in addition to, or in lieu of, the royalty payment through the "Land Lease" input above, if applicable.  
</t>
        </r>
        <r>
          <rPr>
            <b/>
            <sz val="14"/>
            <color indexed="81"/>
            <rFont val="Tahoma"/>
            <family val="2"/>
          </rPr>
          <t>Inflation is NOT applied to this input</t>
        </r>
        <r>
          <rPr>
            <sz val="14"/>
            <color indexed="81"/>
            <rFont val="Tahoma"/>
            <family val="2"/>
          </rPr>
          <t>. However, if tariff escalation is selected, then the assumed royalty payment will increase over time since it is calculated as a function of revenue over time.
If the modeled project's royalty payments are not the same over time, then an average annual royalty payment should be calculated externally and entered in this cell. 
This input cannot be less than zero.
This value will be site specific and is typically negotiable.</t>
        </r>
      </text>
    </comment>
    <comment ref="S48" authorId="0" shapeId="0" xr:uid="{00000000-0006-0000-0100-000050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49" authorId="0" shapeId="0" xr:uid="{00000000-0006-0000-0100-000051000000}">
      <text>
        <r>
          <rPr>
            <b/>
            <sz val="14"/>
            <color indexed="81"/>
            <rFont val="Tahoma"/>
            <family val="2"/>
          </rPr>
          <t xml:space="preserve">Note:
</t>
        </r>
        <r>
          <rPr>
            <sz val="14"/>
            <color indexed="81"/>
            <rFont val="Tahoma"/>
            <family val="2"/>
          </rPr>
          <t xml:space="preserve">This cell calculates the resulting dollar value cost of royalties paid to landowners or other stakeholders based on the input above and project revenue.  It is provided simply as a reference for the user.
</t>
        </r>
        <r>
          <rPr>
            <sz val="8"/>
            <color indexed="81"/>
            <rFont val="Tahoma"/>
            <family val="2"/>
          </rPr>
          <t xml:space="preserve">
</t>
        </r>
      </text>
    </comment>
    <comment ref="S49" authorId="0" shapeId="0" xr:uid="{00000000-0006-0000-0100-000052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text>
    </comment>
    <comment ref="S50" authorId="0" shapeId="0" xr:uid="{00000000-0006-0000-0100-000053000000}">
      <text>
        <r>
          <rPr>
            <b/>
            <sz val="14"/>
            <color indexed="81"/>
            <rFont val="Tahoma"/>
            <family val="2"/>
          </rPr>
          <t xml:space="preserve">Note:
</t>
        </r>
        <r>
          <rPr>
            <sz val="14"/>
            <color indexed="81"/>
            <rFont val="Tahoma"/>
            <family val="2"/>
          </rPr>
          <t xml:space="preserve">Include here the dollar per Watt value of any state-specific rebates or cash grants.
Input cannot be less than zero.
</t>
        </r>
      </text>
    </comment>
    <comment ref="F51" authorId="0" shapeId="0" xr:uid="{00000000-0006-0000-0100-000054000000}">
      <text>
        <r>
          <rPr>
            <b/>
            <sz val="8"/>
            <color indexed="81"/>
            <rFont val="Tahoma"/>
            <family val="2"/>
          </rPr>
          <t>See "unit" definitions at the bottom of this worksheet.</t>
        </r>
        <r>
          <rPr>
            <sz val="8"/>
            <color indexed="81"/>
            <rFont val="Tahoma"/>
            <family val="2"/>
          </rPr>
          <t xml:space="preserve">
</t>
        </r>
      </text>
    </comment>
    <comment ref="S51" authorId="0" shapeId="0" xr:uid="{00000000-0006-0000-0100-000055000000}">
      <text>
        <r>
          <rPr>
            <b/>
            <sz val="14"/>
            <color indexed="81"/>
            <rFont val="Tahoma"/>
            <family val="2"/>
          </rPr>
          <t xml:space="preserve">Note:
</t>
        </r>
        <r>
          <rPr>
            <sz val="14"/>
            <color indexed="81"/>
            <rFont val="Tahoma"/>
            <family val="2"/>
          </rPr>
          <t xml:space="preserve">Enter here the maximum dollar value ("cap") of any state-specific rebate or grant.
If no cap exists, enter zero.
Input cannot be less than zero.
</t>
        </r>
      </text>
    </comment>
    <comment ref="I52" authorId="0" shapeId="0" xr:uid="{00000000-0006-0000-0100-000056000000}">
      <text>
        <r>
          <rPr>
            <b/>
            <sz val="14"/>
            <color indexed="81"/>
            <rFont val="Tahoma"/>
            <family val="2"/>
          </rPr>
          <t xml:space="preserve">Note:
</t>
        </r>
        <r>
          <rPr>
            <sz val="14"/>
            <color indexed="81"/>
            <rFont val="Tahoma"/>
            <family val="2"/>
          </rPr>
          <t>The # of months from construction start to commercial operation. This input cannot be less than zero.
This value will be site specific but reasonable inputs are likely to fall in the range of 6-12</t>
        </r>
      </text>
    </comment>
    <comment ref="S52" authorId="0" shapeId="0" xr:uid="{00000000-0006-0000-0100-000057000000}">
      <text>
        <r>
          <rPr>
            <b/>
            <sz val="14"/>
            <color indexed="81"/>
            <rFont val="Tahoma"/>
            <family val="2"/>
          </rPr>
          <t xml:space="preserve">Note:
</t>
        </r>
        <r>
          <rPr>
            <sz val="14"/>
            <color indexed="81"/>
            <rFont val="Tahoma"/>
            <family val="2"/>
          </rPr>
          <t xml:space="preserve">Select here whether state grants are treated as taxable income.  If no, depreciation basis is reduced. 
</t>
        </r>
      </text>
    </comment>
    <comment ref="I53" authorId="0" shapeId="0" xr:uid="{00000000-0006-0000-0100-000058000000}">
      <text>
        <r>
          <rPr>
            <b/>
            <sz val="14"/>
            <color indexed="81"/>
            <rFont val="Tahoma"/>
            <family val="2"/>
          </rPr>
          <t xml:space="preserve">Note:
</t>
        </r>
        <r>
          <rPr>
            <sz val="14"/>
            <color indexed="81"/>
            <rFont val="Tahoma"/>
            <family val="2"/>
          </rPr>
          <t>The annual interest rate on construction debt. This input cannot be less than zero.
This value will be site specific but reasonable inputs are likely to fall in the range of 3-10%</t>
        </r>
      </text>
    </comment>
    <comment ref="I54" authorId="0" shapeId="0" xr:uid="{00000000-0006-0000-0100-000059000000}">
      <text>
        <r>
          <rPr>
            <b/>
            <sz val="14"/>
            <color indexed="81"/>
            <rFont val="Tahoma"/>
            <family val="2"/>
          </rPr>
          <t xml:space="preserve">Note:
</t>
        </r>
        <r>
          <rPr>
            <sz val="14"/>
            <color indexed="81"/>
            <rFont val="Tahoma"/>
            <family val="2"/>
          </rPr>
          <t xml:space="preserve">A calculated value showing the interest accrued during the construction period. Rather than requiring the user to define a detailed construction draw-down schedule, this calculation makes the simplifying assumption that the total project cost is spent in equal parts in each month of the construction period.
IDC is calculated on total project cost, assuming that any grants are collected after construction financing is repaid at time of permanent financing.
This cell is only used with the "Intermediate" and "Complex" capital cost options. The "Simple" capital cost option assumes that all project costs, including IDC, are included in the single input.
</t>
        </r>
      </text>
    </comment>
    <comment ref="S55" authorId="0" shapeId="0" xr:uid="{00000000-0006-0000-0100-00005A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F56" authorId="0" shapeId="0" xr:uid="{00000000-0006-0000-0100-00005B000000}">
      <text>
        <r>
          <rPr>
            <b/>
            <sz val="8"/>
            <color indexed="81"/>
            <rFont val="Tahoma"/>
            <family val="2"/>
          </rPr>
          <t>See "unit" definitions at the bottom of this worksheet.</t>
        </r>
        <r>
          <rPr>
            <sz val="8"/>
            <color indexed="81"/>
            <rFont val="Tahoma"/>
            <family val="2"/>
          </rPr>
          <t xml:space="preserve">
</t>
        </r>
      </text>
    </comment>
    <comment ref="S56" authorId="0" shapeId="0" xr:uid="{00000000-0006-0000-0100-00005C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57" authorId="0" shapeId="0" xr:uid="{00000000-0006-0000-0100-00005D000000}">
      <text>
        <r>
          <rPr>
            <b/>
            <sz val="14"/>
            <color indexed="81"/>
            <rFont val="Tahoma"/>
            <family val="2"/>
          </rPr>
          <t xml:space="preserve">Note:
</t>
        </r>
        <r>
          <rPr>
            <sz val="14"/>
            <color indexed="81"/>
            <rFont val="Tahoma"/>
            <family val="2"/>
          </rPr>
          <t xml:space="preserve">For ease of use and comprehension by a wide range of stakeholders, this model allows the user to define the capital structure, and relies on mortgage-style amortization of the project debt. The "% Debt" input specifies the portion of funds borrowed, as a percentage of the total "hard costs." Equity is assumed to fund the remaining hard costs PLUS all "soft costs" (e.g. transaction costs and funding of initial reserve accounts, if applicable).  This input cannot be less than zero.
Where maximum sustainable leverage is desired, the user must manually adjust the "% Debt" entry upward to the highest point </t>
        </r>
        <r>
          <rPr>
            <b/>
            <i/>
            <sz val="14"/>
            <color indexed="81"/>
            <rFont val="Tahoma"/>
            <family val="2"/>
          </rPr>
          <t>before</t>
        </r>
        <r>
          <rPr>
            <sz val="14"/>
            <color indexed="81"/>
            <rFont val="Tahoma"/>
            <family val="2"/>
          </rPr>
          <t xml:space="preserve"> the DSCRs no longer "Pass."
If a specific % Debt is desired, </t>
        </r>
        <r>
          <rPr>
            <u/>
            <sz val="14"/>
            <color indexed="81"/>
            <rFont val="Tahoma"/>
            <family val="2"/>
          </rPr>
          <t>and such % is higher than the maximum sustainable debt</t>
        </r>
        <r>
          <rPr>
            <sz val="14"/>
            <color indexed="81"/>
            <rFont val="Tahoma"/>
            <family val="2"/>
          </rPr>
          <t xml:space="preserve"> (such that it causes the DSCR to "Fail"), then the user must define the % Debt and then manually adjust the "Target After-Tax Equity IRR" upward until the DSCRs are met.  The user should </t>
        </r>
        <r>
          <rPr>
            <b/>
            <sz val="14"/>
            <color indexed="81"/>
            <rFont val="Tahoma"/>
            <family val="2"/>
          </rPr>
          <t>take note</t>
        </r>
        <r>
          <rPr>
            <sz val="14"/>
            <color indexed="81"/>
            <rFont val="Tahoma"/>
            <family val="2"/>
          </rPr>
          <t xml:space="preserve"> that when leverage becomes very high (and the corresponding equity contribution low), the "Target After-Tax Equity IRR" will need to be adjusted to levels exceeding typical commercial returns </t>
        </r>
        <r>
          <rPr>
            <u/>
            <sz val="14"/>
            <color indexed="81"/>
            <rFont val="Tahoma"/>
            <family val="2"/>
          </rPr>
          <t>in order to maintain the DSCR ratio</t>
        </r>
        <r>
          <rPr>
            <sz val="14"/>
            <color indexed="81"/>
            <rFont val="Tahoma"/>
            <family val="2"/>
          </rPr>
          <t xml:space="preserve"> on such high debt levels.  For this reason, it is not recommended that users solve for the Cost of Energy (COE) associated with a % Debt that is beyond the maximum sustainable leverage.
If a project is expected to be funded either by a pool of corporate funds or back-leveraged after commercial operation, the user might elect to enter 0% in the "% Debt" cell and enter a weighted average cost of capital (WACC) in the "Target After-Tax Equity IRR" cell.
This value will be site specific and will fall somewhere between 0 and 100%.
</t>
        </r>
      </text>
    </comment>
    <comment ref="S57" authorId="0" shapeId="0" xr:uid="{00000000-0006-0000-0100-00005E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58" authorId="2" shapeId="0" xr:uid="{00000000-0006-0000-0100-00005F000000}">
      <text>
        <r>
          <rPr>
            <b/>
            <sz val="14"/>
            <color indexed="81"/>
            <rFont val="Tahoma"/>
            <family val="2"/>
          </rPr>
          <t>Note:</t>
        </r>
        <r>
          <rPr>
            <sz val="14"/>
            <color indexed="81"/>
            <rFont val="Tahoma"/>
            <family val="2"/>
          </rPr>
          <t xml:space="preserve">
Debt "tenor" (also casually referred to as "term"), is the number of years in the debt repayment schedule.   
Caution: If the project will utilize debt, this value must be greater than zero but less than or equal to the total FIT contract duration.
This value will be site specific but reasonable inputs are likely to fall in the range of 10-20
</t>
        </r>
      </text>
    </comment>
    <comment ref="S58" authorId="0" shapeId="0" xr:uid="{00000000-0006-0000-0100-000060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59" authorId="2" shapeId="0" xr:uid="{00000000-0006-0000-0100-000061000000}">
      <text>
        <r>
          <rPr>
            <b/>
            <sz val="14"/>
            <color indexed="81"/>
            <rFont val="Tahoma"/>
            <family val="2"/>
          </rPr>
          <t>Note:</t>
        </r>
        <r>
          <rPr>
            <sz val="14"/>
            <color indexed="81"/>
            <rFont val="Tahoma"/>
            <family val="2"/>
          </rPr>
          <t xml:space="preserve">
The all-in interest rate is the financing rate provided by the bank or other debt investor.
This input cannot be less than zero.
This value will be site specific but reasonable inputs are likely to fall in the range of 4%-10%</t>
        </r>
      </text>
    </comment>
    <comment ref="S59" authorId="0" shapeId="0" xr:uid="{00000000-0006-0000-0100-000062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60" authorId="0" shapeId="0" xr:uid="{00000000-0006-0000-0100-000063000000}">
      <text>
        <r>
          <rPr>
            <b/>
            <sz val="14"/>
            <color indexed="81"/>
            <rFont val="Tahoma"/>
            <family val="2"/>
          </rPr>
          <t xml:space="preserve">Note:
</t>
        </r>
        <r>
          <rPr>
            <sz val="14"/>
            <color indexed="81"/>
            <rFont val="Tahoma"/>
            <family val="2"/>
          </rPr>
          <t>A one-time fee collected by the lender and calculated as a % of the total loan amount. This value is typically between 1% and 4%.
This input cannot be less than zero.
This value will be site specific but reasonable inputs are likely to fall in the range of 1.0-5.0%</t>
        </r>
      </text>
    </comment>
    <comment ref="S60" authorId="0" shapeId="0" xr:uid="{00000000-0006-0000-0100-000064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61" authorId="2" shapeId="0" xr:uid="{00000000-0006-0000-0100-000065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input will vary by site and but will generally fall between 1.0 and 1.3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1.3 to 1.5. This input must be greater than 1.
</t>
        </r>
      </text>
    </comment>
    <comment ref="S61" authorId="0" shapeId="0" xr:uid="{00000000-0006-0000-0100-000066000000}">
      <text>
        <r>
          <rPr>
            <b/>
            <sz val="14"/>
            <color indexed="81"/>
            <rFont val="Tahoma"/>
            <family val="2"/>
          </rPr>
          <t>Note:</t>
        </r>
        <r>
          <rPr>
            <sz val="14"/>
            <color indexed="81"/>
            <rFont val="Tahoma"/>
            <family val="2"/>
          </rPr>
          <t xml:space="preserve">
These input cells allow for assumptions regarding the replacement of major equipment components, which are capitalized and depreciated rather than expensed as annual O&amp;M.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62" authorId="0" shapeId="0" xr:uid="{00000000-0006-0000-0100-000067000000}">
      <text>
        <r>
          <rPr>
            <b/>
            <sz val="14"/>
            <color indexed="81"/>
            <rFont val="Tahoma"/>
            <family val="2"/>
          </rPr>
          <t>Note:</t>
        </r>
        <r>
          <rPr>
            <sz val="14"/>
            <color indexed="81"/>
            <rFont val="Tahoma"/>
            <family val="2"/>
          </rPr>
          <t xml:space="preserve">
If "#N/A" appears, F9 should be pressed until the calculated COE achieves it's final value.</t>
        </r>
      </text>
    </comment>
    <comment ref="S62" authorId="0" shapeId="0" xr:uid="{00000000-0006-0000-0100-000068000000}">
      <text>
        <r>
          <rPr>
            <b/>
            <sz val="14"/>
            <color indexed="81"/>
            <rFont val="Tahoma"/>
            <family val="2"/>
          </rPr>
          <t xml:space="preserve">Note:
</t>
        </r>
        <r>
          <rPr>
            <sz val="14"/>
            <color indexed="81"/>
            <rFont val="Tahoma"/>
            <family val="2"/>
          </rPr>
          <t>The cost of (or even need for) major equipment replacements is difficult to assess, given that costs are attributable to an item that would be purchased many years from commercial operation. The input placed in this cell must be in nominal dollars -- reflecting the expected cost of the equipment in the year replaced. The model then reserves funds sufficient to pay for this replacement from operations in equal amounts until the year in which the replacement occurs.
Note: This model assumes that future equipment purchases will be depreciated on 5-yr MACRS basis.
Input must be greater than or equal to zero.</t>
        </r>
      </text>
    </comment>
    <comment ref="I63" authorId="2" shapeId="0" xr:uid="{00000000-0006-0000-0100-000069000000}">
      <text>
        <r>
          <rPr>
            <b/>
            <sz val="14"/>
            <color indexed="81"/>
            <rFont val="Tahoma"/>
            <family val="2"/>
          </rPr>
          <t>Note:</t>
        </r>
        <r>
          <rPr>
            <sz val="14"/>
            <color indexed="81"/>
            <rFont val="Tahoma"/>
            <family val="2"/>
          </rPr>
          <t xml:space="preserve">
This cell checks that the debt service coverage ratio exceeds the user-defined minimum in each operating year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Because the CREST model solves for the Levelized Cost of Energy (LCOE) that meets all project costs and minumum stated requirements, increasing the equity IRR requirements signals to the model that more revenue (e.g. a higher contract rate per kWh) is required.  This increased revenue translates into greater debt service coverage and a higher equity IRR.
Other possible, but less likely, mechanisms include:
3. increase the loan tenor
4. decrease the interest rate</t>
        </r>
      </text>
    </comment>
    <comment ref="I64" authorId="2" shapeId="0" xr:uid="{00000000-0006-0000-0100-00006A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input will vary by site and but will generally fall between 1.0 and 1.3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1.3 to 1.5. This input must be greater than 1.
</t>
        </r>
      </text>
    </comment>
    <comment ref="I65" authorId="0" shapeId="0" xr:uid="{00000000-0006-0000-0100-00006B000000}">
      <text>
        <r>
          <rPr>
            <b/>
            <sz val="12"/>
            <color indexed="81"/>
            <rFont val="Tahoma"/>
            <family val="2"/>
          </rPr>
          <t>Note:</t>
        </r>
        <r>
          <rPr>
            <sz val="12"/>
            <color indexed="81"/>
            <rFont val="Tahoma"/>
            <family val="2"/>
          </rPr>
          <t xml:space="preserve">
If "#N/A" appears, F9 should be pressed until the calculated COE achieves it's final value.</t>
        </r>
      </text>
    </comment>
    <comment ref="P65" authorId="0" shapeId="0" xr:uid="{00000000-0006-0000-0100-00006C000000}">
      <text>
        <r>
          <rPr>
            <b/>
            <sz val="8"/>
            <color indexed="81"/>
            <rFont val="Tahoma"/>
            <family val="2"/>
          </rPr>
          <t>See "unit" definitions at the bottom of this worksheet.</t>
        </r>
        <r>
          <rPr>
            <sz val="8"/>
            <color indexed="81"/>
            <rFont val="Tahoma"/>
            <family val="2"/>
          </rPr>
          <t xml:space="preserve">
</t>
        </r>
      </text>
    </comment>
    <comment ref="I66" authorId="2" shapeId="0" xr:uid="{00000000-0006-0000-0100-00006D000000}">
      <text>
        <r>
          <rPr>
            <b/>
            <sz val="14"/>
            <color indexed="81"/>
            <rFont val="Tahoma"/>
            <family val="2"/>
          </rPr>
          <t>Note:</t>
        </r>
        <r>
          <rPr>
            <sz val="14"/>
            <color indexed="81"/>
            <rFont val="Tahoma"/>
            <family val="2"/>
          </rPr>
          <t xml:space="preserve">
This cell checks that the average debt service coverage ratio exceeds the user-defined minimum during the period for which debt is outstanding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I67" authorId="0" shapeId="0" xr:uid="{00000000-0006-0000-0100-00006E000000}">
      <text>
        <r>
          <rPr>
            <b/>
            <sz val="14"/>
            <color indexed="81"/>
            <rFont val="Tahoma"/>
            <family val="2"/>
          </rPr>
          <t xml:space="preserve">Note:
</t>
        </r>
        <r>
          <rPr>
            <sz val="14"/>
            <color indexed="81"/>
            <rFont val="Tahoma"/>
            <family val="2"/>
          </rPr>
          <t xml:space="preserve">The portion of total project cost funded from equity investors. This cell is a calculation and not an input. It is calculated as 100% minus the "% Debt" entered above.
</t>
        </r>
      </text>
    </comment>
    <comment ref="S67" authorId="2" shapeId="0" xr:uid="{00000000-0006-0000-0100-00006F000000}">
      <text>
        <r>
          <rPr>
            <b/>
            <sz val="14"/>
            <color indexed="81"/>
            <rFont val="Tahoma"/>
            <family val="2"/>
          </rPr>
          <t xml:space="preserve">Note:
</t>
        </r>
        <r>
          <rPr>
            <sz val="14"/>
            <color indexed="81"/>
            <rFont val="Tahoma"/>
            <family val="2"/>
          </rPr>
          <t xml:space="preserve">In order to ensure that project owners have sufficient funds to decommission and remove equipment at the end of a project's life, many owners choose to create and fund a reserve account throughout the course of project. 
This input cell allows the modeler to choose whether to pay for project removal by creating and funding a reserve account over the project life by selecting "Operations" or to assume that a project's removal will be funded by selling the equipment, by selecting "Salvage".
</t>
        </r>
      </text>
    </comment>
    <comment ref="I68" authorId="2" shapeId="0" xr:uid="{00000000-0006-0000-0100-000070000000}">
      <text>
        <r>
          <rPr>
            <b/>
            <sz val="14"/>
            <color indexed="81"/>
            <rFont val="Tahoma"/>
            <family val="2"/>
          </rPr>
          <t>Note:</t>
        </r>
        <r>
          <rPr>
            <sz val="14"/>
            <color indexed="81"/>
            <rFont val="Tahoma"/>
            <family val="2"/>
          </rPr>
          <t xml:space="preserve">
The target after-tax equity IRR is the equity investor's cost of capital -- or "discount rate" -- and is the minimum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The user should be explicit in his or her assumption regarding the term over which the target after-tax IRR is assumed to be realized. For example, the user could elect to align the return requirement with the tariff payment duration. In this case, the project useful life should be set equal to the tariff duration in order to calculate the Cost of Energy (COE) associated with the target IRR over that period of time. 
In a second example, the user could elect to align the return requirement with the project's useful life. In this case, the user can either assume a tariff duration equal to the project life, or assume market-based revenue for the period after the tariff and before the end of the assumed project useful life.
This input cannot be less than zero.
If a project is expected to be funded either by a pool of corporate funds or back-leveraged after commercial operation, the user might elect to enter 0% in the "% Debt" cell and enter a weighted average cost of capital (WACC) in the "Target After-Tax Equity IRR" cell.
This value will be site specific but reasonable inputs are likely to fall in the range of 5%-20%</t>
        </r>
      </text>
    </comment>
    <comment ref="S68" authorId="0" shapeId="0" xr:uid="{00000000-0006-0000-0100-000071000000}">
      <text>
        <r>
          <rPr>
            <b/>
            <sz val="14"/>
            <color indexed="81"/>
            <rFont val="Tahoma"/>
            <family val="2"/>
          </rPr>
          <t>Note:</t>
        </r>
        <r>
          <rPr>
            <sz val="14"/>
            <color indexed="81"/>
            <rFont val="Tahoma"/>
            <family val="2"/>
          </rPr>
          <t xml:space="preserve">
This input cell allows the user to assume the creation of a reserve account. The value entered here will be accounted for in the project's cash flow, and would be funded evenly over the number of years available between the project's commercial operation and the end of its useful life.
Input cannot be less than zero.
</t>
        </r>
      </text>
    </comment>
    <comment ref="I69" authorId="0" shapeId="0" xr:uid="{00000000-0006-0000-0100-000072000000}">
      <text>
        <r>
          <rPr>
            <b/>
            <sz val="14"/>
            <color indexed="81"/>
            <rFont val="Tahoma"/>
            <family val="2"/>
          </rPr>
          <t xml:space="preserve">Note:
</t>
        </r>
        <r>
          <rPr>
            <sz val="14"/>
            <color indexed="81"/>
            <rFont val="Tahoma"/>
            <family val="2"/>
          </rPr>
          <t xml:space="preserve">The weighted average cost of capital combines the after-tax cost of both equity and debt in proportion to their use, and is calculated here for reference.
</t>
        </r>
      </text>
    </comment>
    <comment ref="I70" authorId="0" shapeId="0" xr:uid="{00000000-0006-0000-0100-000073000000}">
      <text>
        <r>
          <rPr>
            <b/>
            <sz val="14"/>
            <color indexed="81"/>
            <rFont val="Tahoma"/>
            <family val="2"/>
          </rPr>
          <t xml:space="preserve">Note:
</t>
        </r>
        <r>
          <rPr>
            <sz val="14"/>
            <color indexed="81"/>
            <rFont val="Tahoma"/>
            <family val="2"/>
          </rPr>
          <t>This cell represents the costs of both equity and debt due diligence (if applicable) and other transaction costs.
Input cannot be less than zero.</t>
        </r>
      </text>
    </comment>
    <comment ref="P70" authorId="0" shapeId="0" xr:uid="{00000000-0006-0000-0100-000074000000}">
      <text>
        <r>
          <rPr>
            <b/>
            <sz val="8"/>
            <color indexed="81"/>
            <rFont val="Tahoma"/>
            <family val="2"/>
          </rPr>
          <t>See "unit" definitions at the bottom of this worksheet.</t>
        </r>
        <r>
          <rPr>
            <sz val="8"/>
            <color indexed="81"/>
            <rFont val="Tahoma"/>
            <family val="2"/>
          </rPr>
          <t xml:space="preserve">
</t>
        </r>
      </text>
    </comment>
    <comment ref="S72" authorId="0" shapeId="0" xr:uid="{00000000-0006-0000-0100-000075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loan repayments occur in full and on time even if the project has insufficient operating cash flow in a specific period due to lower than expected production, higher costs, or both. The size of the reserve account is typically equal to 6 months of debt service obligation.
Input cannot be less than zero.
</t>
        </r>
      </text>
    </comment>
    <comment ref="I73" authorId="0" shapeId="0" xr:uid="{00000000-0006-0000-0100-000076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at the project's "Total Installed Cost."
</t>
        </r>
      </text>
    </comment>
    <comment ref="S73" authorId="0" shapeId="0" xr:uid="{00000000-0006-0000-0100-000077000000}">
      <text>
        <r>
          <rPr>
            <b/>
            <sz val="14"/>
            <color indexed="81"/>
            <rFont val="Tahoma"/>
            <family val="2"/>
          </rPr>
          <t>Note:</t>
        </r>
        <r>
          <rPr>
            <sz val="14"/>
            <color indexed="81"/>
            <rFont val="Tahoma"/>
            <family val="2"/>
          </rPr>
          <t xml:space="preserve">
Calculated value based on the # months of required reserve and the capital structure and associated periodic debt obligation.
</t>
        </r>
      </text>
    </comment>
    <comment ref="I74" authorId="0" shapeId="0" xr:uid="{00000000-0006-0000-0100-000078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I75" authorId="2" shapeId="0" xr:uid="{00000000-0006-0000-0100-000079000000}">
      <text>
        <r>
          <rPr>
            <b/>
            <sz val="14"/>
            <color indexed="81"/>
            <rFont val="Tahoma"/>
            <family val="2"/>
          </rPr>
          <t xml:space="preserve">Note:
</t>
        </r>
        <r>
          <rPr>
            <sz val="14"/>
            <color indexed="81"/>
            <rFont val="Tahoma"/>
            <family val="2"/>
          </rPr>
          <t>This cell calculates the total of all applicable grants, excluding the payment in lieu of the Federal ITC (also known as the ITC Cash Grant, or Cash Grant), if applicable.  The ITC Cash Grant is considered separately because unlike grants issued upfront and used to offset capital costs, the ITC Cash Grant is disbursed approxiamtely 60 days after the start of commercial operations and therefore becomes an integral part of the project's financing.
Where grants are treated as taxable income, this cell calculates the after-tax impact on the total cost of the project.</t>
        </r>
        <r>
          <rPr>
            <sz val="8"/>
            <color indexed="81"/>
            <rFont val="Tahoma"/>
            <family val="2"/>
          </rPr>
          <t xml:space="preserve">
</t>
        </r>
      </text>
    </comment>
    <comment ref="S75" authorId="0" shapeId="0" xr:uid="{00000000-0006-0000-0100-00007A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all O&amp;M expenses can be met even if the project has insufficient operating cash flow in a specific period due to lower than expected production, higher costs, or both. The size of the reserve account is typically 3 to 6 months of O&amp;M expenses, and includes all categories of O&amp;M expenses.
Input cannot be less than zero.
</t>
        </r>
      </text>
    </comment>
    <comment ref="I76" authorId="0" shapeId="0" xr:uid="{00000000-0006-0000-0100-00007B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S76" authorId="0" shapeId="0" xr:uid="{00000000-0006-0000-0100-00007C000000}">
      <text>
        <r>
          <rPr>
            <b/>
            <sz val="14"/>
            <color indexed="81"/>
            <rFont val="Tahoma"/>
            <family val="2"/>
          </rPr>
          <t>Note:</t>
        </r>
        <r>
          <rPr>
            <sz val="14"/>
            <color indexed="81"/>
            <rFont val="Tahoma"/>
            <family val="2"/>
          </rPr>
          <t xml:space="preserve">
Calculated value based on the # months of required reserve and all annual operating expenses.
</t>
        </r>
      </text>
    </comment>
    <comment ref="S77" authorId="0" shapeId="0" xr:uid="{00000000-0006-0000-0100-00007D000000}">
      <text>
        <r>
          <rPr>
            <b/>
            <sz val="14"/>
            <color indexed="81"/>
            <rFont val="Tahoma"/>
            <family val="2"/>
          </rPr>
          <t>Note:</t>
        </r>
        <r>
          <rPr>
            <sz val="14"/>
            <color indexed="81"/>
            <rFont val="Tahoma"/>
            <family val="2"/>
          </rPr>
          <t xml:space="preserve">
Unused reserves earn interest at this rate. Input cannot be less than zero.
</t>
        </r>
      </text>
    </comment>
    <comment ref="F78" authorId="0" shapeId="0" xr:uid="{00000000-0006-0000-0100-00007E000000}">
      <text>
        <r>
          <rPr>
            <b/>
            <sz val="8"/>
            <color indexed="81"/>
            <rFont val="Tahoma"/>
            <family val="2"/>
          </rPr>
          <t>See "unit" definitions at the bottom of this worksheet.</t>
        </r>
        <r>
          <rPr>
            <sz val="8"/>
            <color indexed="81"/>
            <rFont val="Tahoma"/>
            <family val="2"/>
          </rPr>
          <t xml:space="preserve">
</t>
        </r>
      </text>
    </comment>
    <comment ref="I79" authorId="0" shapeId="0" xr:uid="{00000000-0006-0000-0100-00007F000000}">
      <text>
        <r>
          <rPr>
            <b/>
            <sz val="14"/>
            <color indexed="81"/>
            <rFont val="Tahoma"/>
            <family val="2"/>
          </rPr>
          <t xml:space="preserve">Note:
</t>
        </r>
        <r>
          <rPr>
            <sz val="14"/>
            <color indexed="81"/>
            <rFont val="Tahoma"/>
            <family val="2"/>
          </rPr>
          <t xml:space="preserve">Defines whether the project owner is a taxable or non-taxable entity. This determines the treatment of income taxes and other tax-related items.
</t>
        </r>
      </text>
    </comment>
    <comment ref="I80" authorId="0" shapeId="0" xr:uid="{00000000-0006-0000-0100-000080000000}">
      <text>
        <r>
          <rPr>
            <b/>
            <sz val="14"/>
            <color indexed="81"/>
            <rFont val="Tahoma"/>
            <family val="2"/>
          </rPr>
          <t xml:space="preserve">Note:
</t>
        </r>
        <r>
          <rPr>
            <sz val="14"/>
            <color indexed="81"/>
            <rFont val="Tahoma"/>
            <family val="2"/>
          </rPr>
          <t xml:space="preserve">Defines the project's federal income tax rate, if applicable.
Input cannot be less than zero.
</t>
        </r>
      </text>
    </comment>
    <comment ref="S80" authorId="0" shapeId="0" xr:uid="{00000000-0006-0000-0100-000081000000}">
      <text>
        <r>
          <rPr>
            <b/>
            <sz val="14"/>
            <color indexed="81"/>
            <rFont val="Tahoma"/>
            <family val="2"/>
          </rPr>
          <t>Note:</t>
        </r>
        <r>
          <rPr>
            <sz val="14"/>
            <color indexed="81"/>
            <rFont val="Tahoma"/>
            <family val="2"/>
          </rPr>
          <t xml:space="preserve">
To qualify for Bonus Depreciation the property must have a recovery period of 20 years or less (under normal federal tax depreciation rules), and the project must commence operation in the year in which bonus depreciation is in effect and under the ownership of the entity claiming the deduction. 
For qualifying projects, the owner is entitled to deduct 50% of the adjusted basis of the property during the tax year the property is first placed in service. The remaining 50% of the adjusted basis of the property is depreciated over the ordinary MACRS depreciation schedule. The bonus depreciation rules do not override the depreciation limit applicable to projects qualifying for the federal ITC. Before calculating depreciation for such a project, including any bonus depreciation, the adjusted basis of the project must be reduced by one-half of the amount of the ITC for which the project qualifies. 
</t>
        </r>
      </text>
    </comment>
    <comment ref="I81" authorId="0" shapeId="0" xr:uid="{00000000-0006-0000-0100-000082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S81" authorId="0" shapeId="0" xr:uid="{00000000-0006-0000-0100-000083000000}">
      <text>
        <r>
          <rPr>
            <b/>
            <sz val="14"/>
            <color indexed="81"/>
            <rFont val="Tahoma"/>
            <family val="2"/>
          </rPr>
          <t>Note:</t>
        </r>
        <r>
          <rPr>
            <sz val="14"/>
            <color indexed="81"/>
            <rFont val="Tahoma"/>
            <family val="2"/>
          </rPr>
          <t xml:space="preserve">
This input allows the user to define the bonus depreciation % applied in Year 1, if applicable.  Historically, federal bonus depreciation has been 50% of the eligible cost basis (after taking into account reductions in such cost basis for the ITC, if applicable).  
Input cannot be less than zero.
</t>
        </r>
      </text>
    </comment>
    <comment ref="I82" authorId="0" shapeId="0" xr:uid="{00000000-0006-0000-0100-000084000000}">
      <text>
        <r>
          <rPr>
            <b/>
            <sz val="14"/>
            <color indexed="81"/>
            <rFont val="Tahoma"/>
            <family val="2"/>
          </rPr>
          <t xml:space="preserve">Note:
</t>
        </r>
        <r>
          <rPr>
            <sz val="14"/>
            <color indexed="81"/>
            <rFont val="Tahoma"/>
            <family val="2"/>
          </rPr>
          <t xml:space="preserve">Defines the project's state income tax rate, if applicable.
Input cannot be less than zero.
</t>
        </r>
      </text>
    </comment>
    <comment ref="I83" authorId="0" shapeId="0" xr:uid="{00000000-0006-0000-0100-000085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I84" authorId="0" shapeId="0" xr:uid="{00000000-0006-0000-0100-000086000000}">
      <text>
        <r>
          <rPr>
            <b/>
            <sz val="14"/>
            <color indexed="81"/>
            <rFont val="Tahoma"/>
            <family val="2"/>
          </rPr>
          <t xml:space="preserve">Note:
</t>
        </r>
        <r>
          <rPr>
            <sz val="14"/>
            <color indexed="81"/>
            <rFont val="Tahoma"/>
            <family val="2"/>
          </rPr>
          <t xml:space="preserve">Takes into account the interaction between federal and state tax rates. This is a calculated value.
</t>
        </r>
      </text>
    </comment>
    <comment ref="AB84" authorId="0" shapeId="0" xr:uid="{00000000-0006-0000-0100-000087000000}">
      <text>
        <r>
          <rPr>
            <b/>
            <sz val="14"/>
            <color indexed="81"/>
            <rFont val="Tahoma"/>
            <family val="2"/>
          </rPr>
          <t>Note:</t>
        </r>
        <r>
          <rPr>
            <sz val="14"/>
            <color indexed="81"/>
            <rFont val="Tahoma"/>
            <family val="2"/>
          </rPr>
          <t xml:space="preserve">
When the "Simple" capital cost option is selected, the depreciation of total project costs is divided among the classifications using this row. The depreciation options associated with other levels of cost detail will be hidden.
</t>
        </r>
        <r>
          <rPr>
            <b/>
            <sz val="14"/>
            <color indexed="81"/>
            <rFont val="Tahoma"/>
            <family val="2"/>
          </rPr>
          <t xml:space="preserve">This row must sum to 100%.
</t>
        </r>
      </text>
    </comment>
    <comment ref="I85" authorId="0" shapeId="0" xr:uid="{00000000-0006-0000-0100-000088000000}">
      <text>
        <r>
          <rPr>
            <b/>
            <sz val="14"/>
            <color indexed="81"/>
            <rFont val="Tahoma"/>
            <family val="2"/>
          </rPr>
          <t xml:space="preserve">Note:
</t>
        </r>
        <r>
          <rPr>
            <sz val="14"/>
            <color indexed="81"/>
            <rFont val="Tahoma"/>
            <family val="2"/>
          </rPr>
          <t>Depreciation accounts for the "use" of equipment for tax purposes. The depreciation inputs are provided in the table to the right and on the Complex Capital Costs tab when this option is selected.</t>
        </r>
      </text>
    </comment>
    <comment ref="AB85" authorId="0" shapeId="0" xr:uid="{00000000-0006-0000-0100-000089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6" authorId="0" shapeId="0" xr:uid="{00000000-0006-0000-0100-00008A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7" authorId="0" shapeId="0" xr:uid="{00000000-0006-0000-0100-00008B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8" authorId="0" shapeId="0" xr:uid="{00000000-0006-0000-0100-00008C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9" authorId="0" shapeId="0" xr:uid="{00000000-0006-0000-0100-00008D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90" authorId="0" shapeId="0" xr:uid="{00000000-0006-0000-0100-00008E000000}">
      <text>
        <r>
          <rPr>
            <b/>
            <sz val="14"/>
            <color indexed="81"/>
            <rFont val="Tahoma"/>
            <family val="2"/>
          </rPr>
          <t>Note:</t>
        </r>
        <r>
          <rPr>
            <sz val="14"/>
            <color indexed="81"/>
            <rFont val="Tahoma"/>
            <family val="2"/>
          </rPr>
          <t xml:space="preserve">
When the "Complex" capital cost option is selected, each line items is assigned its own depreciation classification using a drop-down menu on the Complex Capital Costs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B5" authorId="0" shapeId="0" xr:uid="{00000000-0006-0000-0200-000001000000}">
      <text>
        <r>
          <rPr>
            <b/>
            <sz val="12"/>
            <color indexed="81"/>
            <rFont val="Tahoma"/>
            <family val="2"/>
          </rPr>
          <t>Note:</t>
        </r>
        <r>
          <rPr>
            <sz val="12"/>
            <color indexed="81"/>
            <rFont val="Tahoma"/>
            <family val="2"/>
          </rPr>
          <t xml:space="preserve">
One of the CREST model development objectives was to incorporate maximum functionality and flexibility, while maintaining a macro-free file.
As a result, the model calculates using a series of three data tables which converge onto the COE within several one-hundredths of a cent.
Because the three data tables rely on one another to calculate the COE, and the "Automatic" calculation setting only re-calculates the first data table under certain circumstances, it is sometimes necessary to press F9 more than once in order for the calculation to cascade through each of the three data tables.
If "#N/A" appears, F9 should be pressed until the calculated COE achieves it's final value.
</t>
        </r>
      </text>
    </comment>
    <comment ref="B14" authorId="0" shapeId="0" xr:uid="{00000000-0006-0000-0200-000002000000}">
      <text>
        <r>
          <rPr>
            <b/>
            <sz val="14"/>
            <color indexed="81"/>
            <rFont val="Tahoma"/>
            <family val="2"/>
          </rPr>
          <t xml:space="preserve">NOTE:
</t>
        </r>
        <r>
          <rPr>
            <sz val="14"/>
            <color indexed="81"/>
            <rFont val="Tahoma"/>
            <family val="2"/>
          </rPr>
          <t>The Nominal Levelized Cost of Energy (LCOE)
is the single, fixed rate with the same economic impact over the life of the project as the Year-One value escalated over time.  When a 0% escalator is assumed, the "Year-One COE" and "LCOE" are the same.
Both the Year One COE and the LCOE reflect the tariff rate necessary to achieve the project investor's required after tax rate of return, taking into account all applicable incentives and any market value of production assumed after the tariff expires and before the end of the project's useful life.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C4" authorId="0" shapeId="0" xr:uid="{00000000-0006-0000-0300-000001000000}">
      <text>
        <r>
          <rPr>
            <b/>
            <sz val="14"/>
            <color indexed="81"/>
            <rFont val="Tahoma"/>
            <family val="2"/>
          </rPr>
          <t xml:space="preserve">Note:
</t>
        </r>
        <r>
          <rPr>
            <sz val="14"/>
            <color indexed="81"/>
            <rFont val="Tahoma"/>
            <family val="2"/>
          </rPr>
          <t>During the FIT contract period, this column represents the feed-in tariff rate, including escalation if applicable.  After the FIT contract ends, this column represents the value of energy, capacity, renewable energy credits, or other attributes as defined and enterred by the user, if applicable.</t>
        </r>
      </text>
    </comment>
    <comment ref="D4" authorId="0" shapeId="0" xr:uid="{00000000-0006-0000-0300-000002000000}">
      <text>
        <r>
          <rPr>
            <sz val="8"/>
            <color indexed="81"/>
            <rFont val="Tahoma"/>
            <family val="2"/>
          </rPr>
          <t xml:space="preserve">
</t>
        </r>
        <r>
          <rPr>
            <b/>
            <sz val="14"/>
            <color indexed="81"/>
            <rFont val="Tahoma"/>
            <family val="2"/>
          </rPr>
          <t>Note:</t>
        </r>
        <r>
          <rPr>
            <sz val="8"/>
            <color indexed="81"/>
            <rFont val="Tahoma"/>
            <family val="2"/>
          </rPr>
          <t xml:space="preserve">
</t>
        </r>
        <r>
          <rPr>
            <sz val="14"/>
            <color indexed="81"/>
            <rFont val="Tahoma"/>
            <family val="2"/>
          </rPr>
          <t>includes performance-based incentives.</t>
        </r>
      </text>
    </comment>
    <comment ref="E4" authorId="0" shapeId="0" xr:uid="{00000000-0006-0000-0300-000003000000}">
      <text>
        <r>
          <rPr>
            <b/>
            <sz val="14"/>
            <color indexed="81"/>
            <rFont val="Tahoma"/>
            <family val="2"/>
          </rPr>
          <t>Note:</t>
        </r>
        <r>
          <rPr>
            <sz val="14"/>
            <color indexed="81"/>
            <rFont val="Tahoma"/>
            <family val="2"/>
          </rPr>
          <t xml:space="preserve">
Includes all land lease, royalty and local tax or PILOT.
</t>
        </r>
      </text>
    </comment>
    <comment ref="F4" authorId="0" shapeId="0" xr:uid="{00000000-0006-0000-0300-000004000000}">
      <text>
        <r>
          <rPr>
            <b/>
            <sz val="12"/>
            <color indexed="81"/>
            <rFont val="Tahoma"/>
            <family val="2"/>
          </rPr>
          <t xml:space="preserve">Note:
</t>
        </r>
        <r>
          <rPr>
            <sz val="12"/>
            <color indexed="81"/>
            <rFont val="Tahoma"/>
            <family val="2"/>
          </rPr>
          <t>Includes principle and interest, if debt is used.</t>
        </r>
      </text>
    </comment>
    <comment ref="G4" authorId="0" shapeId="0" xr:uid="{00000000-0006-0000-0300-000005000000}">
      <text>
        <r>
          <rPr>
            <b/>
            <sz val="14"/>
            <color indexed="81"/>
            <rFont val="Tahoma"/>
            <family val="2"/>
          </rPr>
          <t xml:space="preserve">Note:
</t>
        </r>
        <r>
          <rPr>
            <sz val="14"/>
            <color indexed="81"/>
            <rFont val="Tahoma"/>
            <family val="2"/>
          </rPr>
          <t xml:space="preserve">Positive values denote net withdrawal from reserve accounts as reserved capital is returned to project owners.
</t>
        </r>
      </text>
    </comment>
    <comment ref="M4" authorId="0" shapeId="0" xr:uid="{00000000-0006-0000-0300-000006000000}">
      <text>
        <r>
          <rPr>
            <b/>
            <sz val="14"/>
            <color indexed="81"/>
            <rFont val="Tahoma"/>
            <family val="2"/>
          </rPr>
          <t xml:space="preserve">Note:
</t>
        </r>
        <r>
          <rPr>
            <sz val="14"/>
            <color indexed="81"/>
            <rFont val="Tahoma"/>
            <family val="2"/>
          </rPr>
          <t xml:space="preserve">This is the annual cash flow disbursed to the project's equity investors, after tax.
</t>
        </r>
      </text>
    </comment>
    <comment ref="N4" authorId="0" shapeId="0" xr:uid="{00000000-0006-0000-0300-000007000000}">
      <text>
        <r>
          <rPr>
            <b/>
            <sz val="14"/>
            <color indexed="81"/>
            <rFont val="Tahoma"/>
            <family val="2"/>
          </rPr>
          <t xml:space="preserve">Note:
</t>
        </r>
        <r>
          <rPr>
            <sz val="14"/>
            <color indexed="81"/>
            <rFont val="Tahoma"/>
            <family val="2"/>
          </rPr>
          <t xml:space="preserve">This is the cumulative benefit of annual net cash flows.  The year in which the values become positive represents the return "of" the equity investor's original cash contribution.  The equity investor does not earn its return "on" investment until the required rate is met - which in this model will be in the final project year.
</t>
        </r>
      </text>
    </comment>
    <comment ref="O4" authorId="0" shapeId="0" xr:uid="{00000000-0006-0000-0300-000008000000}">
      <text>
        <r>
          <rPr>
            <b/>
            <sz val="14"/>
            <color indexed="81"/>
            <rFont val="Tahoma"/>
            <family val="2"/>
          </rPr>
          <t xml:space="preserve">Note:
</t>
        </r>
        <r>
          <rPr>
            <sz val="14"/>
            <color indexed="81"/>
            <rFont val="Tahoma"/>
            <family val="2"/>
          </rPr>
          <t xml:space="preserve">This is a running tally on the equity investor's after tax internal rate of return.
</t>
        </r>
      </text>
    </comment>
    <comment ref="P4" authorId="0" shapeId="0" xr:uid="{00000000-0006-0000-0300-000009000000}">
      <text>
        <r>
          <rPr>
            <b/>
            <sz val="14"/>
            <color indexed="81"/>
            <rFont val="Tahoma"/>
            <family val="2"/>
          </rPr>
          <t xml:space="preserve">Note:
</t>
        </r>
        <r>
          <rPr>
            <sz val="14"/>
            <color indexed="81"/>
            <rFont val="Tahoma"/>
            <family val="2"/>
          </rPr>
          <t xml:space="preserve">The Debt Service Coverage Ratio is calculated by dividing the sum of the annual principal and interest payment into that year's operating cash flow.  Lenders will require the DSCR to demonstrate the project's ability to easily meet its annual debt service obligation.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E70" authorId="0" shapeId="0" xr:uid="{00000000-0006-0000-0400-000001000000}">
      <text>
        <r>
          <rPr>
            <b/>
            <sz val="14"/>
            <color indexed="81"/>
            <rFont val="Tahoma"/>
            <family val="2"/>
          </rPr>
          <t xml:space="preserve">NOTE:
</t>
        </r>
        <r>
          <rPr>
            <sz val="14"/>
            <color indexed="81"/>
            <rFont val="Tahoma"/>
            <family val="2"/>
          </rPr>
          <t>If operating loss carry-forward is NOT applied, the values in the "Taxable Income" lines should be the same.</t>
        </r>
        <r>
          <rPr>
            <sz val="8"/>
            <color indexed="81"/>
            <rFont val="Tahoma"/>
            <family val="2"/>
          </rPr>
          <t xml:space="preserve">
</t>
        </r>
      </text>
    </comment>
    <comment ref="C108" authorId="0" shapeId="0" xr:uid="{00000000-0006-0000-0400-000002000000}">
      <text>
        <r>
          <rPr>
            <b/>
            <sz val="14"/>
            <color indexed="81"/>
            <rFont val="Tahoma"/>
            <family val="2"/>
          </rPr>
          <t>Note:</t>
        </r>
        <r>
          <rPr>
            <sz val="14"/>
            <color indexed="81"/>
            <rFont val="Tahoma"/>
            <family val="2"/>
          </rPr>
          <t xml:space="preserve">
Adjustments include (if applicable): reduction of cost basis by 50% of ITC (or ITC Cash Grant), reduction of cost basis for other non-taxable grants, and allocation of Bonus Depreciation. </t>
        </r>
      </text>
    </comment>
    <comment ref="E108" authorId="0" shapeId="0" xr:uid="{00000000-0006-0000-0400-000003000000}">
      <text>
        <r>
          <rPr>
            <b/>
            <sz val="14"/>
            <color indexed="81"/>
            <rFont val="Tahoma"/>
            <family val="2"/>
          </rPr>
          <t xml:space="preserve">Note:
</t>
        </r>
        <r>
          <rPr>
            <sz val="14"/>
            <color indexed="81"/>
            <rFont val="Tahoma"/>
            <family val="2"/>
          </rPr>
          <t xml:space="preserve">Adjustments include (if applicable): reduction of cost basis by 50% of ITC (or ITC Cash Grant), reduction of cost basis for other non-taxable grants, and allocation of Bonus Depreciation. </t>
        </r>
      </text>
    </comment>
    <comment ref="G189" authorId="0" shapeId="0" xr:uid="{00000000-0006-0000-0400-000004000000}">
      <text>
        <r>
          <rPr>
            <b/>
            <sz val="12"/>
            <color indexed="81"/>
            <rFont val="Tahoma"/>
            <family val="2"/>
          </rPr>
          <t>Note:</t>
        </r>
        <r>
          <rPr>
            <sz val="12"/>
            <color indexed="81"/>
            <rFont val="Tahoma"/>
            <family val="2"/>
          </rPr>
          <t xml:space="preserve">
ITC earned in first quarter of operation assumed eligible to offset tax on state income taxes saved in first operating year, when applicable. Remainder of ITC carried forward.
</t>
        </r>
      </text>
    </comment>
    <comment ref="B216" authorId="0" shapeId="0" xr:uid="{00000000-0006-0000-0400-000005000000}">
      <text>
        <r>
          <rPr>
            <sz val="14"/>
            <color indexed="81"/>
            <rFont val="Tahoma"/>
            <family val="2"/>
          </rPr>
          <t>If decommissioning paid for through operations (e.g. a decommissioning reserve account) then the "Ending Balance" in the project's final operating year should equal the total decommission reserve requirement specified on the inputs tab; if decommissioning is paid for from the salvage value of the equipment, then the "Ending Balance" in the project's final operating year should be zero.</t>
        </r>
      </text>
    </comment>
  </commentList>
</comments>
</file>

<file path=xl/sharedStrings.xml><?xml version="1.0" encoding="utf-8"?>
<sst xmlns="http://schemas.openxmlformats.org/spreadsheetml/2006/main" count="1040" uniqueCount="485">
  <si>
    <t>$</t>
  </si>
  <si>
    <t>%</t>
  </si>
  <si>
    <t>kWh</t>
  </si>
  <si>
    <t>years</t>
  </si>
  <si>
    <t>Construction Period</t>
  </si>
  <si>
    <t>Federal Income Tax Rate</t>
  </si>
  <si>
    <t>State Income Tax Rate</t>
  </si>
  <si>
    <t>?</t>
  </si>
  <si>
    <t>Select Cost Level of Detail</t>
  </si>
  <si>
    <t>Operations &amp; Maintenance</t>
  </si>
  <si>
    <t>$/yr</t>
  </si>
  <si>
    <t>Operating Expenses</t>
  </si>
  <si>
    <t>Yes</t>
  </si>
  <si>
    <t>Technology Options</t>
  </si>
  <si>
    <t>Project Size and Performance</t>
  </si>
  <si>
    <t>Is owner a taxable entity?</t>
  </si>
  <si>
    <t>ITC utilization factor, if applicable</t>
  </si>
  <si>
    <t>Notes</t>
  </si>
  <si>
    <t>Check</t>
  </si>
  <si>
    <t>5-year MACRS</t>
  </si>
  <si>
    <t>15-year MACRS</t>
  </si>
  <si>
    <t>15-year SL</t>
  </si>
  <si>
    <t>20-year SL</t>
  </si>
  <si>
    <t>Non-Depreciable</t>
  </si>
  <si>
    <t>Federal Incentives</t>
  </si>
  <si>
    <t>Utilization Factor, if applicable</t>
  </si>
  <si>
    <t>Cost Category</t>
  </si>
  <si>
    <t>year</t>
  </si>
  <si>
    <t>Generator Nameplate Capacity</t>
  </si>
  <si>
    <t>Effective Income Tax Rate</t>
  </si>
  <si>
    <t>State ITC realization period</t>
  </si>
  <si>
    <t>yrs</t>
  </si>
  <si>
    <t>PBI Duration</t>
  </si>
  <si>
    <t>Permanent Financing</t>
  </si>
  <si>
    <t>Interest Rate (Annual)</t>
  </si>
  <si>
    <t>months</t>
  </si>
  <si>
    <t>Interest During Construction</t>
  </si>
  <si>
    <t>Initial Funding of Reserve Accounts</t>
  </si>
  <si>
    <t>Debt Service Reserve</t>
  </si>
  <si>
    <t># of months of O&amp;M Expense</t>
  </si>
  <si>
    <t>Initial O&amp;M and WC Reserve</t>
  </si>
  <si>
    <t>Initial Debt Service Reserve</t>
  </si>
  <si>
    <t># of months of Debt Service</t>
  </si>
  <si>
    <t>Decommissioning Reserve</t>
  </si>
  <si>
    <t>Reserves Funded from Operations</t>
  </si>
  <si>
    <t>Fund from Operations or Salvage Value?</t>
  </si>
  <si>
    <t>Reserve Requirement</t>
  </si>
  <si>
    <t>Lender's Fee (% of total borrowing)</t>
  </si>
  <si>
    <t>Other Equity &amp; Debt Closing Costs</t>
  </si>
  <si>
    <t>Inputs Summary</t>
  </si>
  <si>
    <t>Outputs Summary</t>
  </si>
  <si>
    <t>Years</t>
  </si>
  <si>
    <t>¢/kWh</t>
  </si>
  <si>
    <t>Annual Project Cash Flows, Returns &amp; Other Metrics</t>
  </si>
  <si>
    <t>Revenue</t>
  </si>
  <si>
    <t>Year</t>
  </si>
  <si>
    <t>Cumulative Cash Flow</t>
  </si>
  <si>
    <t>After Tax IRR</t>
  </si>
  <si>
    <t>Debt Service</t>
  </si>
  <si>
    <t>Coverage</t>
  </si>
  <si>
    <t>Current Model Run</t>
  </si>
  <si>
    <t>units</t>
  </si>
  <si>
    <t>O&amp;M Reserve/Working Capital</t>
  </si>
  <si>
    <t>Insurance, Yr 1 (% of Total Cost)</t>
  </si>
  <si>
    <t>COD</t>
  </si>
  <si>
    <t>Project Expenses</t>
  </si>
  <si>
    <t>Project Administration</t>
  </si>
  <si>
    <t>Insurance</t>
  </si>
  <si>
    <t>Operating Income After Interest Expense</t>
  </si>
  <si>
    <t>Pre-Tax Cash Flow to Equity</t>
  </si>
  <si>
    <t>Project Cash Flows</t>
  </si>
  <si>
    <t>Running IRR (Cash Only)</t>
  </si>
  <si>
    <t>Supporting Calculations</t>
  </si>
  <si>
    <t>5 Year MACRS</t>
  </si>
  <si>
    <t>15 Year MACRS</t>
  </si>
  <si>
    <t>20 Year MACRS</t>
  </si>
  <si>
    <t>20 Year SL</t>
  </si>
  <si>
    <t>39 Year SL</t>
  </si>
  <si>
    <t>Total Project Cost, adj for ITC/Grant if applicable</t>
  </si>
  <si>
    <t xml:space="preserve">Total  </t>
  </si>
  <si>
    <t xml:space="preserve">Debt Service:            </t>
  </si>
  <si>
    <t>Size of Debt</t>
  </si>
  <si>
    <t>Debt Sizing (Defined Capital Structure Method)</t>
  </si>
  <si>
    <t>Installed Cost (excluding cost of financing)</t>
  </si>
  <si>
    <t>Defined Debt-to-Total-Capital</t>
  </si>
  <si>
    <t>Beginning Balance</t>
  </si>
  <si>
    <t>Drawdowns</t>
  </si>
  <si>
    <t>Ending Balance</t>
  </si>
  <si>
    <t>Interest</t>
  </si>
  <si>
    <t>Principal</t>
  </si>
  <si>
    <t>Structured Debt Service Payment</t>
  </si>
  <si>
    <t>Depreciation Allocation</t>
  </si>
  <si>
    <t>% Eligible for ITC</t>
  </si>
  <si>
    <t>placeholder</t>
  </si>
  <si>
    <t>Click Here to Return to Inputs Worksheet</t>
  </si>
  <si>
    <t>Reserves &amp; Financing Costs</t>
  </si>
  <si>
    <t>Variable O&amp;M Expense, Yr 1</t>
  </si>
  <si>
    <t xml:space="preserve">¢/kWh </t>
  </si>
  <si>
    <t>see table ==&gt;</t>
  </si>
  <si>
    <t>Tariff Rate &amp; Cash Incentives</t>
  </si>
  <si>
    <t>Percentage of Tariff Escalated</t>
  </si>
  <si>
    <t>Tariff Rate Escalator, if applicable</t>
  </si>
  <si>
    <t>Revenue from Tariff</t>
  </si>
  <si>
    <t>Federal Cash Incentive Rate</t>
  </si>
  <si>
    <t xml:space="preserve">Federal Cash Incentive  </t>
  </si>
  <si>
    <t>State Cash Incentive Rate</t>
  </si>
  <si>
    <t xml:space="preserve">State Cash Incentive  </t>
  </si>
  <si>
    <t>Operating Expense Inflation Factor</t>
  </si>
  <si>
    <t>Fixed O&amp;M Expense</t>
  </si>
  <si>
    <t>Variable O&amp;M Expense</t>
  </si>
  <si>
    <t>Property Tax or Payment in Lieu of Taxes (PILOT)</t>
  </si>
  <si>
    <t>Royalties</t>
  </si>
  <si>
    <t>Royalties (% of revenue)</t>
  </si>
  <si>
    <t>Project Revenue, All Sources</t>
  </si>
  <si>
    <t xml:space="preserve">Total Operating Expenses </t>
  </si>
  <si>
    <t>EBITDA (Operating Income)</t>
  </si>
  <si>
    <t>Principal Repayments</t>
  </si>
  <si>
    <t>Loan Amortization</t>
  </si>
  <si>
    <t xml:space="preserve">Loan Repayment </t>
  </si>
  <si>
    <t>Repayment of Loan Principal</t>
  </si>
  <si>
    <t>Loan Interest Expense</t>
  </si>
  <si>
    <t>Net Pre-Tax Cash Flow to Equity</t>
  </si>
  <si>
    <t>Project/Contract Year</t>
  </si>
  <si>
    <t>Depreciation Schedules, Half-Year Convention</t>
  </si>
  <si>
    <t>7 Year MACRS</t>
  </si>
  <si>
    <t>5 Year SL</t>
  </si>
  <si>
    <t>15 Year SL</t>
  </si>
  <si>
    <t>7-year MACRS</t>
  </si>
  <si>
    <t>20-year MACRS</t>
  </si>
  <si>
    <t>5-year SL</t>
  </si>
  <si>
    <t>39-year SL</t>
  </si>
  <si>
    <t>Allocation</t>
  </si>
  <si>
    <t xml:space="preserve">ITC or Cash Grant  </t>
  </si>
  <si>
    <t>check</t>
  </si>
  <si>
    <t>Total Installed Cost</t>
  </si>
  <si>
    <t>No</t>
  </si>
  <si>
    <t>PBI Rate</t>
  </si>
  <si>
    <t>Federal Income Taxes Saved / (Paid), before ITC/PTC</t>
  </si>
  <si>
    <t>Running IRR (After Tax)</t>
  </si>
  <si>
    <t>After-Tax Cash Flow to Equity</t>
  </si>
  <si>
    <t>Cash Benefit of State ITC and/or PTC</t>
  </si>
  <si>
    <t>PBI Escalation Rate</t>
  </si>
  <si>
    <t>Federal PBI Escalator, if applicable</t>
  </si>
  <si>
    <t>State PBI Escalator, if applicable</t>
  </si>
  <si>
    <t>Reserve Accounts:</t>
  </si>
  <si>
    <t>Interest on All Reserves</t>
  </si>
  <si>
    <t>Annual Debt Service Coverage Ratio</t>
  </si>
  <si>
    <t>Depreciation:</t>
  </si>
  <si>
    <t>Annual Depreciation Expense, Initial Installation</t>
  </si>
  <si>
    <t>Annual Depreciation Expense, Repairs &amp; Replacements</t>
  </si>
  <si>
    <t>1st Replacement</t>
  </si>
  <si>
    <t>2nd Replacement</t>
  </si>
  <si>
    <t>Depreciation Timing</t>
  </si>
  <si>
    <t>Depreciation Expense</t>
  </si>
  <si>
    <t>Tax</t>
  </si>
  <si>
    <t>After Tax Cash Flow</t>
  </si>
  <si>
    <t>Reserves</t>
  </si>
  <si>
    <t>PBI Utilization Factor, if applicable</t>
  </si>
  <si>
    <t>Capital Costs</t>
  </si>
  <si>
    <t>Generation Equipment</t>
  </si>
  <si>
    <t>Depreciation Classification</t>
  </si>
  <si>
    <t>Balance of Plant</t>
  </si>
  <si>
    <t>Interconnection</t>
  </si>
  <si>
    <t>Development Costs &amp; Fee</t>
  </si>
  <si>
    <t>Total Generation Equipment Cost</t>
  </si>
  <si>
    <t>Total Project Costs</t>
  </si>
  <si>
    <t>Total Balance of Plant Cost</t>
  </si>
  <si>
    <t>Total Interconnection Cost</t>
  </si>
  <si>
    <t>$ Eligible for ITC</t>
  </si>
  <si>
    <t>Lender Fee</t>
  </si>
  <si>
    <t>Initial Funding of Debt Service &amp; Working Capital/O&amp;M Reserves</t>
  </si>
  <si>
    <t>Total Development Costs &amp; Fees</t>
  </si>
  <si>
    <t>Other Closing Costs</t>
  </si>
  <si>
    <t>Other Grants or Rebates</t>
  </si>
  <si>
    <t>State Income Taxes Saved / (Paid), before ITC/PTC</t>
  </si>
  <si>
    <t>Title:</t>
  </si>
  <si>
    <t>Introduction:</t>
  </si>
  <si>
    <t>Yr 1 COE</t>
  </si>
  <si>
    <t>Interest Earned on Reserve Accounts</t>
  </si>
  <si>
    <t>O&amp;M/Working Capital Reserve</t>
  </si>
  <si>
    <t>Interest on Reserves</t>
  </si>
  <si>
    <t>Annual Contributions to/(Liquidations of) Reserves</t>
  </si>
  <si>
    <t>(Contributions to), and Liquidation of, Reserve Accounts</t>
  </si>
  <si>
    <t>Adjustment(s) for Major Equipment Replacement(s)</t>
  </si>
  <si>
    <t>Annual Depreciation Benefit</t>
  </si>
  <si>
    <t>Model Architecture:</t>
  </si>
  <si>
    <t>Black Text is strictly reserved for cells that are calculated automatically . These cells should not be modified.</t>
  </si>
  <si>
    <t>Pass/Fail</t>
  </si>
  <si>
    <t>Min DSCR</t>
  </si>
  <si>
    <t>Taxable Entity? (turns on/off ITC and depreciation input cells)</t>
  </si>
  <si>
    <t>Construction Financing</t>
  </si>
  <si>
    <t>Federal PTC (as generated)</t>
  </si>
  <si>
    <t>State PTC (as generated)</t>
  </si>
  <si>
    <t>Version:</t>
  </si>
  <si>
    <t>Entering Inputs:  Model Conventions</t>
  </si>
  <si>
    <t>In the "Check" column, green cells are used to indicate that the user has entered an acceptable value in a required field.</t>
  </si>
  <si>
    <t>Annual Escalation of Year-One COE</t>
  </si>
  <si>
    <t>% of Year-One Tariff Rate Escalated</t>
  </si>
  <si>
    <t>Project Management Yr 1</t>
  </si>
  <si>
    <t xml:space="preserve">ITC Amount </t>
  </si>
  <si>
    <t>Paste Results of Multiple Model Runs Below</t>
  </si>
  <si>
    <t>[Insert Scenario Name]</t>
  </si>
  <si>
    <t>Results of multiple scenarios may be compared here by using the "copy" and "paste special - values" feature to transfer values from column D to columns F through O</t>
  </si>
  <si>
    <t>Interest Rate on Term Debt</t>
  </si>
  <si>
    <t>Initial Period ends last day of:</t>
  </si>
  <si>
    <t>O&amp;M Cost Inflation, thereafter</t>
  </si>
  <si>
    <t>O&amp;M Cost Inflation, initial period</t>
  </si>
  <si>
    <t>Fixed O&amp;M Expense, Yr 1</t>
  </si>
  <si>
    <t>Project Useful Life</t>
  </si>
  <si>
    <t>Value of energy, capacity &amp; RECs, Yr 1</t>
  </si>
  <si>
    <t>Market Value Escalation Rate</t>
  </si>
  <si>
    <t>Year-by-Year Inputs for Market Value of Production, if applicable</t>
  </si>
  <si>
    <t>Complex Inputs for Deriving Total Project Capital Cost, if applicable</t>
  </si>
  <si>
    <t>* Includes energy, capacity &amp; RECs</t>
  </si>
  <si>
    <t>Market Revenue</t>
  </si>
  <si>
    <t>Post-Tariff Market Value of Production</t>
  </si>
  <si>
    <t>Required Minimum Annual DSCR</t>
  </si>
  <si>
    <t>Actual Minimum DSCR, occurs in →</t>
  </si>
  <si>
    <t xml:space="preserve">ITC or Cash Grant Amount </t>
  </si>
  <si>
    <t>Tariff or Market Value</t>
  </si>
  <si>
    <t>Project</t>
  </si>
  <si>
    <t>Summary Results</t>
  </si>
  <si>
    <t>Taxable Income / (Operating Loss)</t>
  </si>
  <si>
    <t>Operating Loss Carry-Forward, if applicable:</t>
  </si>
  <si>
    <t>Utilization of Operating Loss Carry-Forward</t>
  </si>
  <si>
    <t>Operating Loss Carry-Forward, Beginning Balance</t>
  </si>
  <si>
    <t>Additional Operating Loss Carried-Forward</t>
  </si>
  <si>
    <t>Operating Loss Carry-Forward, Ending Balance</t>
  </si>
  <si>
    <t>Taxable Income with Operating Loss Carry-Forward</t>
  </si>
  <si>
    <t>Annual Depreciation Expense</t>
  </si>
  <si>
    <t>Federal Tax Credit Benefits, if applicable:</t>
  </si>
  <si>
    <t>Federal ITC (as generated)</t>
  </si>
  <si>
    <t>State ITC (as generated)</t>
  </si>
  <si>
    <t>Applicable Tax Credits, as generated</t>
  </si>
  <si>
    <t>Carry-Forward Scenario:</t>
  </si>
  <si>
    <t>State Tax Credit Benefits, if applicable:</t>
  </si>
  <si>
    <t>Performance, Cost, Operating, Tax &amp; Financing Inputs</t>
  </si>
  <si>
    <t>State Grants Treated as Taxable Income?</t>
  </si>
  <si>
    <t>Federal Grants Treated as Taxable Income?</t>
  </si>
  <si>
    <t>Annual Property Tax Adjustment Factor</t>
  </si>
  <si>
    <t>Property Tax or PILOT, Yr 1</t>
  </si>
  <si>
    <t>% Debt (% of hard costs) (mortgage-style amort.)</t>
  </si>
  <si>
    <t>Senior Debt (funds portion of hard costs)</t>
  </si>
  <si>
    <t>Equity (funds balance of hard costs + all soft costs)</t>
  </si>
  <si>
    <t>Summary of Sources of Funding for Total Installed Cost</t>
  </si>
  <si>
    <t>Actual Average DSCR</t>
  </si>
  <si>
    <t>Required Average DSCR</t>
  </si>
  <si>
    <t>Select Market Value Forecast Methodology</t>
  </si>
  <si>
    <t>Project Year</t>
  </si>
  <si>
    <t>1st Replacement Cost  ($ in year replaced)</t>
  </si>
  <si>
    <t>2nd Replacement Cost ($ in year replaced)</t>
  </si>
  <si>
    <t>Bundled* Market Value of Production (¢/kWh)</t>
  </si>
  <si>
    <t>Avg. DSCR</t>
  </si>
  <si>
    <t>Tariff Rate (Fixed Portion)</t>
  </si>
  <si>
    <t>Tariff Rate (Total)</t>
  </si>
  <si>
    <t>Tariff Rate (Escalating Portion)</t>
  </si>
  <si>
    <t>Equity Investment</t>
  </si>
  <si>
    <t>Pre-Tax Cash Flow</t>
  </si>
  <si>
    <t>Expenses + Cash Obligations</t>
  </si>
  <si>
    <t>Graph Data</t>
  </si>
  <si>
    <t>Operating the Model:</t>
  </si>
  <si>
    <t>Understanding the Results:</t>
  </si>
  <si>
    <t>Cash Benefit of Federal ITC, Cash Grant, or PTC</t>
  </si>
  <si>
    <t>Target After-Tax Equity IRR</t>
  </si>
  <si>
    <t>COE Data Tables</t>
  </si>
  <si>
    <t>NPV</t>
  </si>
  <si>
    <t>(cents/kWh)</t>
  </si>
  <si>
    <t>Range Min</t>
  </si>
  <si>
    <t>Range Max</t>
  </si>
  <si>
    <t>Calculation of COE when tax benefits are "Carried Forward"</t>
  </si>
  <si>
    <t>Production, Yr 1</t>
  </si>
  <si>
    <t>Tax Benefit Carry-Forward, Beginning Balance</t>
  </si>
  <si>
    <t>Additional Tax Benefit Carry-Forward</t>
  </si>
  <si>
    <t>Utilization of Tax Benefit Carry-Forward</t>
  </si>
  <si>
    <t>Tax Benefit Carry-Forward, Ending Balance</t>
  </si>
  <si>
    <r>
      <t xml:space="preserve">Taxable Income </t>
    </r>
    <r>
      <rPr>
        <sz val="12"/>
        <rFont val="Arial"/>
        <family val="2"/>
      </rPr>
      <t>(operating loss used as generated)</t>
    </r>
  </si>
  <si>
    <r>
      <t>Taxable Income (Federal)</t>
    </r>
    <r>
      <rPr>
        <sz val="12"/>
        <rFont val="Arial"/>
        <family val="2"/>
      </rPr>
      <t>,           operating loss treatment ==&gt;&gt;</t>
    </r>
  </si>
  <si>
    <r>
      <t>Taxable Income (State),</t>
    </r>
    <r>
      <rPr>
        <sz val="12"/>
        <rFont val="Arial"/>
        <family val="2"/>
      </rPr>
      <t xml:space="preserve">               operating loss treatment ==&gt;&gt;</t>
    </r>
  </si>
  <si>
    <t>Federal Tax Benefits used as generated or carried forward?</t>
  </si>
  <si>
    <t>State Tax Benefits used as generated or carried forward?</t>
  </si>
  <si>
    <t>Federal Carry-Forward</t>
  </si>
  <si>
    <t>State Carry-Forward</t>
  </si>
  <si>
    <t>Minimum DSSCR Year</t>
  </si>
  <si>
    <t>Units</t>
  </si>
  <si>
    <t>Unit Definitions</t>
  </si>
  <si>
    <t>Pass/Fail – denotes whether the two debt service coverage ratio tests have passed or failed.</t>
  </si>
  <si>
    <t>(kW) kilowatt – a standard measure of electrical capacity, equal to 1000 Watts.</t>
  </si>
  <si>
    <t>(kWh) kilowatt hour – a standard measure of electrical output. A 1 kW generator operating at rated capacity for one hour will produce 1 kWh of electricity.</t>
  </si>
  <si>
    <t>(¢/kWh) –cents per kilowatt hour</t>
  </si>
  <si>
    <t>(%) – an input with units expressed as a percentage</t>
  </si>
  <si>
    <t>(years or year) – an input applicable to a specified duration or project year</t>
  </si>
  <si>
    <t>($/yr) – inputs measured in dollars and applied annually</t>
  </si>
  <si>
    <t>(months) –designates the number of months to which an input applies</t>
  </si>
  <si>
    <r>
      <t xml:space="preserve">Does modeled project meet </t>
    </r>
    <r>
      <rPr>
        <b/>
        <i/>
        <sz val="11"/>
        <color theme="1"/>
        <rFont val="Arial"/>
        <family val="2"/>
      </rPr>
      <t>minimum</t>
    </r>
    <r>
      <rPr>
        <b/>
        <sz val="11"/>
        <color theme="1"/>
        <rFont val="Arial"/>
        <family val="2"/>
      </rPr>
      <t xml:space="preserve"> DSCR requirements?</t>
    </r>
  </si>
  <si>
    <r>
      <t xml:space="preserve">Does modeled project meet </t>
    </r>
    <r>
      <rPr>
        <b/>
        <i/>
        <sz val="11"/>
        <color theme="1"/>
        <rFont val="Arial"/>
        <family val="2"/>
      </rPr>
      <t>average</t>
    </r>
    <r>
      <rPr>
        <b/>
        <sz val="11"/>
        <color theme="1"/>
        <rFont val="Arial"/>
        <family val="2"/>
      </rPr>
      <t xml:space="preserve"> DSCR requirements?</t>
    </r>
  </si>
  <si>
    <t>Investment Tax Credit (ITC) or Cash Grant?</t>
  </si>
  <si>
    <t>Type of Federal Incentive Assumed</t>
  </si>
  <si>
    <t>Is PBI Tax-Based (PTC) or Cash-Based (REPI)?</t>
  </si>
  <si>
    <t>Is Performance-Based Incentive Tax Credit or Cash Pmt?</t>
  </si>
  <si>
    <t>Click Here for Complex Input Worksheet</t>
  </si>
  <si>
    <t>($/kW-yr) – an annual expense (or revenue) based on generator capacity</t>
  </si>
  <si>
    <t>($) – All CREST model values are in nominal dollars</t>
  </si>
  <si>
    <t>Weighted Average Cost of Capital (WACC)</t>
  </si>
  <si>
    <t>Click Here for Complex Input Worksheets</t>
  </si>
  <si>
    <t>Year One</t>
  </si>
  <si>
    <t>As Generated</t>
  </si>
  <si>
    <r>
      <t>Total Value of Grants</t>
    </r>
    <r>
      <rPr>
        <sz val="10"/>
        <rFont val="Arial"/>
        <family val="2"/>
      </rPr>
      <t xml:space="preserve"> (excl. pmt in lieu of ITC, if applicable)</t>
    </r>
  </si>
  <si>
    <t>Did you confirm that all minimum required inputs have green check cells?</t>
  </si>
  <si>
    <t>Insurance, Yr 1 ($) (Provided for reference)</t>
  </si>
  <si>
    <t>Royalties, Yr 1 ($) (Provided for reference)</t>
  </si>
  <si>
    <r>
      <rPr>
        <b/>
        <sz val="12"/>
        <color theme="4"/>
        <rFont val="Calibri"/>
        <family val="2"/>
        <scheme val="minor"/>
      </rPr>
      <t>Blue Bold Text</t>
    </r>
    <r>
      <rPr>
        <sz val="12"/>
        <color theme="1"/>
        <rFont val="Calibri"/>
        <family val="2"/>
        <scheme val="minor"/>
      </rPr>
      <t xml:space="preserve"> denotes user-defined inputs.  The user is responsible for modifying these cells to be consistent with the project being evaluated.</t>
    </r>
  </si>
  <si>
    <t>Conversely, red cells appearing in the "Check" column indicate that a required cell is blank or contains an invalid argument which requires the user's attention.</t>
  </si>
  <si>
    <t>Yellow boxes are used to highlight input choices the model user must make via a dropdown menu.</t>
  </si>
  <si>
    <t>The "Notes" column, populated with boxes showing a "?", contains a combination of definitions, explanations and ranges of typical values for most inputs.  To read a note, the users need only move the cursor onto the applicable cell.  The user is strongly encouraged to review all of these comments in order to understand key features of the CREST model.</t>
  </si>
  <si>
    <t>The output of this model is the all-in payment required to cover all expenses and meet the project investors' after-tax return requirements over the specified number of years. This payment can be used to inform the feed-in tariff rate-setting process.  The payment can either be expressed as a  ‘Year One’ value of which all, or a designated portion, escalates each year during the tariff's duration at a defined rate, or as a "nominal levelized" value (where zero annual escalation is assumed).  The model output is always expressed in cents/kWh.  It is important to note that this calculated tariff rate is net of other assumed incentives, such as federal tax credits and state grants.</t>
  </si>
  <si>
    <t>Press F9 each time inputs are changed to ensure completion of the COE calculation.  
When "#N/A" appears,  press "F9" in the upper row on your keyboard to complete the calculation.  It may be necessary to press F9 more than once. See note for details.</t>
  </si>
  <si>
    <t>Minimum DSCR Check Cell (If "Fail," read note ==&gt;)</t>
  </si>
  <si>
    <t>Average DSCR Check Cell (If "Fail," read note ==&gt;)</t>
  </si>
  <si>
    <t>Input Value</t>
  </si>
  <si>
    <t>Input Values</t>
  </si>
  <si>
    <r>
      <t xml:space="preserve">% Equity (% hard costs) </t>
    </r>
    <r>
      <rPr>
        <sz val="11"/>
        <rFont val="Arial"/>
        <family val="2"/>
      </rPr>
      <t>(soft costs also equity funded)</t>
    </r>
  </si>
  <si>
    <t>$/kW-yr</t>
  </si>
  <si>
    <t>kW</t>
  </si>
  <si>
    <t>$/kW</t>
  </si>
  <si>
    <t>Cost of Renewable Energy Spreadsheet Tool (CREST)</t>
  </si>
  <si>
    <t>Land Lease</t>
  </si>
  <si>
    <t>Adjustment to Cost Basis for ITC &amp; Non-taxable Grants</t>
  </si>
  <si>
    <t>Bonus Depreciation</t>
  </si>
  <si>
    <t>% of Bonus Depreciation applied in Year 1</t>
  </si>
  <si>
    <t>Allocation of Costs</t>
  </si>
  <si>
    <t>Project Cost Allocation</t>
  </si>
  <si>
    <t>Before</t>
  </si>
  <si>
    <t xml:space="preserve">% </t>
  </si>
  <si>
    <t xml:space="preserve">After </t>
  </si>
  <si>
    <t>Adjustments</t>
  </si>
  <si>
    <t>Unadjusted</t>
  </si>
  <si>
    <t>Adjusted</t>
  </si>
  <si>
    <t>Project Cost Basis</t>
  </si>
  <si>
    <t>User Manual:</t>
  </si>
  <si>
    <t>Examples:</t>
  </si>
  <si>
    <t>Input Format</t>
  </si>
  <si>
    <t>Calculated Value Format</t>
  </si>
  <si>
    <t>Drop-Down Menu</t>
  </si>
  <si>
    <r>
      <t xml:space="preserve">Once a user has finished entering the characteristics of the project under review on the "Inputs" tab, the model will automatically calculate both the "Year One" and equivalent "Levelized Cost of Energy" -- as defined and discussed in the User Manual.  MS Excel's "Calculation Options" </t>
    </r>
    <r>
      <rPr>
        <b/>
        <sz val="12"/>
        <color theme="1"/>
        <rFont val="Calibri"/>
        <family val="2"/>
        <scheme val="minor"/>
      </rPr>
      <t>MUST</t>
    </r>
    <r>
      <rPr>
        <sz val="12"/>
        <color theme="1"/>
        <rFont val="Calibri"/>
        <family val="2"/>
        <scheme val="minor"/>
      </rPr>
      <t xml:space="preserve"> be set to "</t>
    </r>
    <r>
      <rPr>
        <u/>
        <sz val="12"/>
        <color theme="1"/>
        <rFont val="Calibri"/>
        <family val="2"/>
        <scheme val="minor"/>
      </rPr>
      <t>Automatic</t>
    </r>
    <r>
      <rPr>
        <sz val="12"/>
        <color theme="1"/>
        <rFont val="Calibri"/>
        <family val="2"/>
        <scheme val="minor"/>
      </rPr>
      <t xml:space="preserve">" in order for these results to be generated automatically.  If "Calculation Options" are not set to "Automatic," then the user will need to press "F9" </t>
    </r>
    <r>
      <rPr>
        <u/>
        <sz val="12"/>
        <color theme="1"/>
        <rFont val="Calibri"/>
        <family val="2"/>
        <scheme val="minor"/>
      </rPr>
      <t>after any input is changed</t>
    </r>
    <r>
      <rPr>
        <sz val="12"/>
        <color theme="1"/>
        <rFont val="Calibri"/>
        <family val="2"/>
        <scheme val="minor"/>
      </rPr>
      <t>, in order to calculate accurate results. Even when the Calculations Options are set to Automatic, there are circumstances in which F9 will need to be pressed one or more times in order to complete the calculation.  This is described in more detail in the note towards the top of the Summary Results worksheet. 
Results appear on the "Summary Results" worksheet.  In an effort to allow the user to perform a side-by-side review of multiple cases, the "Summary Results" tab has columns for multiple results. The user is encouraged to copy and paste results from column D into columns F-O as multiple scenarios are run.  This is accomplished by using the "copy" and then "paste special -- values" features in Excel.</t>
    </r>
  </si>
  <si>
    <t>PBI Utilization or Availability Factor, if applicable</t>
  </si>
  <si>
    <t>Federal Taxable Income</t>
  </si>
  <si>
    <t>State Taxable Income</t>
  </si>
  <si>
    <t>Federal Tax 
Benefit/ (Liability)</t>
  </si>
  <si>
    <t>State Tax 
Benefit/ (Liability)</t>
  </si>
  <si>
    <t>Revenue + Tax Benefit/(Liability)</t>
  </si>
  <si>
    <t>Pre-Tax (Cash-only) Equity IRR (over defined Useful Life)</t>
  </si>
  <si>
    <t>After Tax Equity IRR (over defined Useful Life)</t>
  </si>
  <si>
    <t>Notes: (Users may enter descriptive text about their model run)</t>
  </si>
  <si>
    <t>3rd Replacement Cost ($ in year replaced)</t>
  </si>
  <si>
    <t>4th Replacement Cost ($ in year replaced)</t>
  </si>
  <si>
    <t>3rd Replacement</t>
  </si>
  <si>
    <t>4th Replacement</t>
  </si>
  <si>
    <t>Major Equipment Replacement Reserves #1</t>
  </si>
  <si>
    <t>Major Equipment Replacement Reserves #2</t>
  </si>
  <si>
    <t>Major Equipment Replacement Reserves #3</t>
  </si>
  <si>
    <t>Major Equipment Replacement Reserves #4</t>
  </si>
  <si>
    <t>(max funding period, yrs)</t>
  </si>
  <si>
    <t>The CREST model consists of six worksheets: (1) Introduction: An overview of the CREST model, (2) Inputs: The interface for nearly all user-defined assumptions, (3) Summary Results: A framework for storing the output (results) and associated key inputs of multiple model runs, (4) Annual Cash Flows &amp; Returns: Provides a summary of the modeled project's annual cash flows, (5) Cash Flow: The formula calculations, or "guts", of the model; derives all project cash and tax benefits, and (6) Complex Inputs: This worksheet is only used if the user elects to include a detailed breakdown of project costs; this choice is selected by the user on the Inputs tab. Users should expect to work primarily with the "Inputs" and the "Summary Results" worksheets, although the other tabs and summaries are also expected to be useful during the policy-making process.</t>
  </si>
  <si>
    <t>http://dsireusa.org/</t>
  </si>
  <si>
    <t>http://dsireusa.org/incentives/incentive.cfm?Incentive_Code=US02F&amp;re=1&amp;ee=1</t>
  </si>
  <si>
    <t>http://dsireusa.org/incentives/index.cfm?state=us&amp;re=1&amp;EE=1</t>
  </si>
  <si>
    <t>Summary of Reference Links From Inputs Worksheet</t>
  </si>
  <si>
    <t>Several of the input-specific "Notes" on the Inputs worksheet contain hyperlinks.  Since these hyperlinks are not operable when placed within the MS Excel notes feature, they are duplicated here for the user's convenience.</t>
  </si>
  <si>
    <t>DSIRE</t>
  </si>
  <si>
    <t>DSIRE: Tax/Grants</t>
  </si>
  <si>
    <t>DSIRE: Other Fed Incentives</t>
  </si>
  <si>
    <t>Total State ITC, over realization period</t>
  </si>
  <si>
    <t>Cost-Based Tariff Rate Structure</t>
  </si>
  <si>
    <t>Cost-Based Tariff Escalation Rate</t>
  </si>
  <si>
    <t xml:space="preserve">http://financere.nrel.gov/finance/content/crest-model </t>
  </si>
  <si>
    <t>The remainder of this Introduction worksheet provides an abridged version of the User Manual.</t>
  </si>
  <si>
    <r>
      <t xml:space="preserve">The CREST model comes with a User Manual which describes its design, features, inputs and outputs.  The manual is intended to provide an easy to follow road map to users who might not typically work with financial analyses,  to ensure successful utilization of this Cost of Energy tool.  The User Manual gives a "guided tour" of the model architecture, provides an explanation of how to operate the model, compare multiple analyses, and understand the results.  The User Manual is available to download at: </t>
    </r>
    <r>
      <rPr>
        <sz val="12"/>
        <color theme="1"/>
        <rFont val="Calibri"/>
        <family val="2"/>
        <scheme val="minor"/>
      </rPr>
      <t xml:space="preserve">
</t>
    </r>
  </si>
  <si>
    <t>RETI Cost of Generation Spreadsheet</t>
  </si>
  <si>
    <t>Vermont Standard Offer Models</t>
  </si>
  <si>
    <t>RETScreen</t>
  </si>
  <si>
    <t>Gainesville FIT Model</t>
  </si>
  <si>
    <t>Solar Advisor Model (SAM)</t>
  </si>
  <si>
    <t>EU PV Platform</t>
  </si>
  <si>
    <t>Vote Solar Incentive Comparison Model</t>
  </si>
  <si>
    <t>Geothermal Electricity Technology Evaluation Model (GETEM)</t>
  </si>
  <si>
    <t>These models were reviewed primarily to identify best practices which effectively balance ease of use with flexibility and advanced functionality.  In most cases, the helpful modeling techniques identified are not technology-specific, and have influenced the general design of all three CREST models.  Each of the models listed below is discussed in more detail in the report (please see link at the top of this worksheet).</t>
  </si>
  <si>
    <t xml:space="preserve">The CREST model is a cost-of-energy analysis tool intended to assist policy makers evaluating the appropriate payment rate for a cost-based renewable energy incentive policy. The model aims to determine the cost-of-energy, or minimum revenue per unit of production needed for a sample (modeled) renewable energy project to meet its investors' assumed minimum required after-tax rate of return.  This model was developed in conjunction with a report entitled “Renewable Energy Cost Modeling: A Toolkit for Establishing Cost-Based Incentives in the United States”, developed under contract to the National Renewable Energy Laboratory. For more information about the factors, issues and policy decisions involved in establishing cost-based rates and incentives, please refer to the report.
The report, user manual and CREST models are free and available for download at: </t>
  </si>
  <si>
    <r>
      <t xml:space="preserve">Forecasted Market Value of Production; applies </t>
    </r>
    <r>
      <rPr>
        <b/>
        <u/>
        <sz val="12"/>
        <rFont val="Arial"/>
        <family val="2"/>
      </rPr>
      <t>after</t>
    </r>
    <r>
      <rPr>
        <b/>
        <sz val="12"/>
        <rFont val="Arial"/>
        <family val="2"/>
      </rPr>
      <t xml:space="preserve"> Incentive Expiration</t>
    </r>
  </si>
  <si>
    <t>Author:</t>
  </si>
  <si>
    <t>Sustainable Energy Advantage, LLC</t>
  </si>
  <si>
    <t>For Technical Support, Please Contact:</t>
  </si>
  <si>
    <t xml:space="preserve">Michael Mendelsohn, NREL
(303) 384-7363
michael.mendelsohn@nrel.gov </t>
  </si>
  <si>
    <t>For Model Customization, Please Contact:</t>
  </si>
  <si>
    <t xml:space="preserve">Sustainable Energy Advantage, LLC
(508) 665-5850
CREST@seadvantage.com </t>
  </si>
  <si>
    <t>Total Installed Cost (before grants, if applicable)</t>
  </si>
  <si>
    <t>Cash</t>
  </si>
  <si>
    <t>Payment Duration for Cost-Based Tariff</t>
  </si>
  <si>
    <t>Tax Credit-  or Cash- Based?</t>
  </si>
  <si>
    <t>% of Year 1 Tariff Rate Escalated</t>
  </si>
  <si>
    <t>Net Installed Cost (Total Installed Cost less Grants)</t>
  </si>
  <si>
    <t>Operating Expenses, Aggregated, Yr 1</t>
  </si>
  <si>
    <t>Debt Term</t>
  </si>
  <si>
    <t>Federal Tax Benefts Used "as generated" or "carried forward"?</t>
  </si>
  <si>
    <t>State Tax Benefts Used "as generated" or "carried forward"?</t>
  </si>
  <si>
    <t>Total of Grants or Rebates</t>
  </si>
  <si>
    <t>Bonus Depreciation assumed?</t>
  </si>
  <si>
    <r>
      <rPr>
        <sz val="11"/>
        <color theme="1"/>
        <rFont val="Calibri"/>
        <family val="2"/>
      </rPr>
      <t>¢</t>
    </r>
    <r>
      <rPr>
        <i/>
        <sz val="11"/>
        <color theme="1"/>
        <rFont val="Arial"/>
        <family val="2"/>
      </rPr>
      <t>/kWh</t>
    </r>
  </si>
  <si>
    <t>Total $ Cap on State Rebates/Grants</t>
  </si>
  <si>
    <t>Annual $ Cap on Performance-Based Incentive</t>
  </si>
  <si>
    <t>PBI or REC Rate</t>
  </si>
  <si>
    <t>PBI or REC PaymentDuration</t>
  </si>
  <si>
    <t>PBI or REC Escalation Rate (pos. or neg.)</t>
  </si>
  <si>
    <t>State Rebates, Tax Credits and/or REC Revenue</t>
  </si>
  <si>
    <t>Net Year-One Cost of Energy (COE)</t>
  </si>
  <si>
    <t>Net Nominal Levelized Cost of Energy</t>
  </si>
  <si>
    <r>
      <t xml:space="preserve">Additional Federal Grants </t>
    </r>
    <r>
      <rPr>
        <b/>
        <sz val="10"/>
        <rFont val="Arial"/>
        <family val="2"/>
      </rPr>
      <t>(Other than Section 1603)</t>
    </r>
  </si>
  <si>
    <t>Select Form of Federal Incentives</t>
  </si>
  <si>
    <t>Additional State Rebates/Grants</t>
  </si>
  <si>
    <t>Select Form of State Incentive</t>
  </si>
  <si>
    <t>If cash, is state PBI or REC taxable?</t>
  </si>
  <si>
    <t>Summary of Models Reviewed During the Development of the CREST models:</t>
  </si>
  <si>
    <t>BTU/cubic foot</t>
  </si>
  <si>
    <t>cubic feet/year</t>
  </si>
  <si>
    <t>MMBTU/year</t>
  </si>
  <si>
    <t>Intermediate</t>
  </si>
  <si>
    <t>BTU/kWh</t>
  </si>
  <si>
    <t>Energy Content per Cubic Foot</t>
  </si>
  <si>
    <t>Energy Content per Year</t>
  </si>
  <si>
    <t>Availability</t>
  </si>
  <si>
    <t>Station Service (Parasitic Load)</t>
  </si>
  <si>
    <t>All inputs must be provided and validated by the user.</t>
  </si>
  <si>
    <t>Supplemental Revenue</t>
  </si>
  <si>
    <t>Salvage</t>
  </si>
  <si>
    <t>Tax Credit</t>
  </si>
  <si>
    <t>Waste Heat -- Heat Capture Efficiency</t>
  </si>
  <si>
    <t>Waste Heat -- BTUs available for sale</t>
  </si>
  <si>
    <t>Waste Heat Selling Rate Escalation Factor</t>
  </si>
  <si>
    <t>Waste Heat -- Selling Price Escalation Factor</t>
  </si>
  <si>
    <t>$/therm</t>
  </si>
  <si>
    <t>Electricity Production</t>
  </si>
  <si>
    <t>Heat Available for Sale</t>
  </si>
  <si>
    <t>therms</t>
  </si>
  <si>
    <t>Waste Heat -- Selling Price/Avoided Cost</t>
  </si>
  <si>
    <t>Sale/Avoided Cost of Waste Heat</t>
  </si>
  <si>
    <t>% Equity (% hard costs) (soft costs also equity funded)</t>
  </si>
  <si>
    <t># of units</t>
  </si>
  <si>
    <t>#</t>
  </si>
  <si>
    <t>Capacity per Unit</t>
  </si>
  <si>
    <t>Total Generator Nameplate Capacity</t>
  </si>
  <si>
    <t>Fuel Cost Escalation Factor</t>
  </si>
  <si>
    <t xml:space="preserve">Fuel Cost  </t>
  </si>
  <si>
    <t>$/MMBtu</t>
  </si>
  <si>
    <t>Annual Stack Degradation</t>
  </si>
  <si>
    <t>Stack Life</t>
  </si>
  <si>
    <t>Hours</t>
  </si>
  <si>
    <t>1st Re-Stack</t>
  </si>
  <si>
    <t>2nd Re-Stack</t>
  </si>
  <si>
    <t>3rd Re-Stack</t>
  </si>
  <si>
    <t>4th Re-Stack</t>
  </si>
  <si>
    <t>Initial Electrical Conversion Efficiency</t>
  </si>
  <si>
    <t>Adjusted Electrical Conversion Efficiency</t>
  </si>
  <si>
    <t>Annual Adjusted Heat Rate</t>
  </si>
  <si>
    <t>Annual Gas Consumption</t>
  </si>
  <si>
    <t>cubic ft/year</t>
  </si>
  <si>
    <t>Gas Consumption, Year 1</t>
  </si>
  <si>
    <t>Supplemental Revenue Stream: Waste Heat</t>
  </si>
  <si>
    <t>Annual Degradation or Restacking Factor</t>
  </si>
  <si>
    <t>Fuel Cost</t>
  </si>
  <si>
    <t>Electricity Production, Year 1</t>
  </si>
  <si>
    <t>Initial Electrical Conversion Efficiency (Year 1)</t>
  </si>
  <si>
    <t>Initial Heat Rate (Year 1)</t>
  </si>
  <si>
    <t>ITC</t>
  </si>
  <si>
    <t>$/therm- inputs measured in dollars per therm. Therm is a unit of heat energy equal to 100,000 BTUs.</t>
  </si>
  <si>
    <t>cubic feet/year - inputs measured in cubic feet and applied annually</t>
  </si>
  <si>
    <t xml:space="preserve">BTU/kWh-  a measure of the efficiency of a power plants equal to the amount of energy it takes to produce a unit of electricity </t>
  </si>
  <si>
    <t>BTU/cubic foot - the heating value of a gas as defined by the thermal energy per unit volume of the gas</t>
  </si>
  <si>
    <t>Capacity Increase Due To Re-Stacking</t>
  </si>
  <si>
    <t>Cost-Based</t>
  </si>
  <si>
    <t>Neither</t>
  </si>
  <si>
    <t>Simple</t>
  </si>
  <si>
    <t>CapEx During Operations: Fuel Cell Re-stacking (capitalized and depreciated)</t>
  </si>
  <si>
    <t>$/MMBtu - inputs measured in dollars per one million British Thermal Units</t>
  </si>
  <si>
    <t>Version 1.4 removes CREST's password protection. The authors strongly recommend that you save a copy of the model in its original form.  Once altered, modeling results cannot be warranted by NREL or SEA.  For model customization support, please contact Sustainable Energy Advantage, LLC.</t>
  </si>
  <si>
    <t>Update Notice:</t>
  </si>
  <si>
    <t>Fuel Cell, 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</si>
</sst>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quot;Project&quot;\ #"/>
    <numFmt numFmtId="167" formatCode="0\ &quot;kW&quot;"/>
    <numFmt numFmtId="168" formatCode="#\ &quot;Years&quot;"/>
    <numFmt numFmtId="169" formatCode="&quot;$&quot;#,##0"/>
    <numFmt numFmtId="170" formatCode="&quot;$&quot;#.##&quot;/ Watt&quot;"/>
    <numFmt numFmtId="171" formatCode="&quot;$&quot;#,##0.00"/>
    <numFmt numFmtId="172" formatCode="0.0000"/>
    <numFmt numFmtId="173" formatCode="0.000"/>
    <numFmt numFmtId="174" formatCode="_(* #,##0_);_(* \(#,##0\);_(* &quot;-&quot;??_);_(@_)"/>
    <numFmt numFmtId="175" formatCode="0.000000"/>
    <numFmt numFmtId="176" formatCode="&quot;Year&quot;\ #"/>
    <numFmt numFmtId="177" formatCode="0.0"/>
    <numFmt numFmtId="178" formatCode="&quot;Net Present Value @&quot;\ ##.00%\ &quot;(over defined Useful Life)&quot;"/>
  </numFmts>
  <fonts count="95">
    <font>
      <sz val="11"/>
      <color theme="1"/>
      <name val="Calibri"/>
      <family val="2"/>
      <scheme val="minor"/>
    </font>
    <font>
      <sz val="12"/>
      <color theme="1"/>
      <name val="Calibri"/>
      <family val="2"/>
      <scheme val="minor"/>
    </font>
    <font>
      <sz val="11"/>
      <color theme="1"/>
      <name val="Calibri"/>
      <family val="2"/>
      <scheme val="minor"/>
    </font>
    <font>
      <b/>
      <sz val="12"/>
      <name val="Arial"/>
      <family val="2"/>
    </font>
    <font>
      <i/>
      <sz val="12"/>
      <name val="Arial"/>
      <family val="2"/>
    </font>
    <font>
      <b/>
      <sz val="12"/>
      <color indexed="62"/>
      <name val="Arial"/>
      <family val="2"/>
    </font>
    <font>
      <sz val="12"/>
      <name val="Arial"/>
      <family val="2"/>
    </font>
    <font>
      <sz val="12"/>
      <color rgb="FFFF0000"/>
      <name val="Arial"/>
      <family val="2"/>
    </font>
    <font>
      <b/>
      <sz val="14"/>
      <name val="Arial"/>
      <family val="2"/>
    </font>
    <font>
      <b/>
      <sz val="12"/>
      <color theme="3"/>
      <name val="Arial"/>
      <family val="2"/>
    </font>
    <font>
      <b/>
      <i/>
      <sz val="10"/>
      <name val="Arial"/>
      <family val="2"/>
    </font>
    <font>
      <i/>
      <sz val="11"/>
      <name val="Arial"/>
      <family val="2"/>
    </font>
    <font>
      <b/>
      <sz val="12"/>
      <color indexed="56"/>
      <name val="Arial"/>
      <family val="2"/>
    </font>
    <font>
      <b/>
      <sz val="8"/>
      <color indexed="81"/>
      <name val="Tahoma"/>
      <family val="2"/>
    </font>
    <font>
      <sz val="8"/>
      <color indexed="81"/>
      <name val="Tahoma"/>
      <family val="2"/>
    </font>
    <font>
      <b/>
      <sz val="12"/>
      <color rgb="FFFF0000"/>
      <name val="Arial"/>
      <family val="2"/>
    </font>
    <font>
      <b/>
      <sz val="12"/>
      <color theme="0" tint="-0.14999847407452621"/>
      <name val="Arial"/>
      <family val="2"/>
    </font>
    <font>
      <u/>
      <sz val="8.8000000000000007"/>
      <color theme="10"/>
      <name val="Calibri"/>
      <family val="2"/>
    </font>
    <font>
      <b/>
      <sz val="14"/>
      <color indexed="81"/>
      <name val="Tahoma"/>
      <family val="2"/>
    </font>
    <font>
      <sz val="14"/>
      <color indexed="81"/>
      <name val="Tahoma"/>
      <family val="2"/>
    </font>
    <font>
      <sz val="10"/>
      <name val="Arial"/>
      <family val="2"/>
    </font>
    <font>
      <b/>
      <i/>
      <sz val="12"/>
      <name val="Arial"/>
      <family val="2"/>
    </font>
    <font>
      <u/>
      <sz val="12"/>
      <name val="Arial"/>
      <family val="2"/>
    </font>
    <font>
      <b/>
      <sz val="12"/>
      <color indexed="81"/>
      <name val="Tahoma"/>
      <family val="2"/>
    </font>
    <font>
      <b/>
      <sz val="12"/>
      <color theme="4"/>
      <name val="Arial"/>
      <family val="2"/>
    </font>
    <font>
      <b/>
      <sz val="11"/>
      <color rgb="FFFF0000"/>
      <name val="Calibri"/>
      <family val="2"/>
      <scheme val="minor"/>
    </font>
    <font>
      <u/>
      <sz val="14"/>
      <color indexed="81"/>
      <name val="Tahoma"/>
      <family val="2"/>
    </font>
    <font>
      <b/>
      <u/>
      <sz val="12"/>
      <color theme="0" tint="-0.249977111117893"/>
      <name val="Arial"/>
      <family val="2"/>
    </font>
    <font>
      <sz val="12"/>
      <color theme="1"/>
      <name val="Arial"/>
      <family val="2"/>
    </font>
    <font>
      <b/>
      <sz val="12"/>
      <color theme="1"/>
      <name val="Calibri"/>
      <family val="2"/>
      <scheme val="minor"/>
    </font>
    <font>
      <b/>
      <sz val="14"/>
      <color theme="1"/>
      <name val="Calibri"/>
      <family val="2"/>
      <scheme val="minor"/>
    </font>
    <font>
      <b/>
      <sz val="12"/>
      <color indexed="12"/>
      <name val="Arial"/>
      <family val="2"/>
    </font>
    <font>
      <sz val="12"/>
      <color indexed="8"/>
      <name val="Arial"/>
      <family val="2"/>
    </font>
    <font>
      <i/>
      <sz val="12"/>
      <color rgb="FFFF0000"/>
      <name val="Arial"/>
      <family val="2"/>
    </font>
    <font>
      <u/>
      <sz val="18"/>
      <color theme="10"/>
      <name val="Calibri"/>
      <family val="2"/>
    </font>
    <font>
      <b/>
      <sz val="12"/>
      <color indexed="56"/>
      <name val="Times New Roman"/>
      <family val="1"/>
    </font>
    <font>
      <i/>
      <u/>
      <sz val="12"/>
      <name val="Arial"/>
      <family val="2"/>
    </font>
    <font>
      <b/>
      <u/>
      <sz val="12"/>
      <name val="Arial"/>
      <family val="2"/>
    </font>
    <font>
      <b/>
      <sz val="14"/>
      <name val="Tahoma"/>
      <family val="2"/>
    </font>
    <font>
      <b/>
      <i/>
      <sz val="14"/>
      <color rgb="FFC00000"/>
      <name val="Tahoma"/>
      <family val="2"/>
    </font>
    <font>
      <i/>
      <sz val="11"/>
      <color rgb="FFC00000"/>
      <name val="Calibri"/>
      <family val="2"/>
      <scheme val="minor"/>
    </font>
    <font>
      <b/>
      <i/>
      <sz val="11"/>
      <color rgb="FFC00000"/>
      <name val="Calibri"/>
      <family val="2"/>
      <scheme val="minor"/>
    </font>
    <font>
      <b/>
      <i/>
      <sz val="12"/>
      <color theme="4"/>
      <name val="Arial"/>
      <family val="2"/>
    </font>
    <font>
      <sz val="12"/>
      <color rgb="FFC00000"/>
      <name val="Arial"/>
      <family val="2"/>
    </font>
    <font>
      <b/>
      <sz val="12"/>
      <color theme="1"/>
      <name val="Arial"/>
      <family val="2"/>
    </font>
    <font>
      <sz val="12"/>
      <color theme="1"/>
      <name val="Calibri"/>
      <family val="2"/>
      <scheme val="minor"/>
    </font>
    <font>
      <b/>
      <sz val="12"/>
      <color rgb="FFFF0000"/>
      <name val="Calibri"/>
      <family val="2"/>
      <scheme val="minor"/>
    </font>
    <font>
      <sz val="12"/>
      <color rgb="FFFF0000"/>
      <name val="Calibri"/>
      <family val="2"/>
      <scheme val="minor"/>
    </font>
    <font>
      <b/>
      <sz val="12"/>
      <color theme="4"/>
      <name val="Calibri"/>
      <family val="2"/>
      <scheme val="minor"/>
    </font>
    <font>
      <sz val="11"/>
      <color theme="1"/>
      <name val="Arial"/>
      <family val="2"/>
    </font>
    <font>
      <b/>
      <sz val="14"/>
      <color theme="1"/>
      <name val="Arial"/>
      <family val="2"/>
    </font>
    <font>
      <b/>
      <sz val="11"/>
      <color theme="1"/>
      <name val="Arial"/>
      <family val="2"/>
    </font>
    <font>
      <b/>
      <sz val="11"/>
      <name val="Arial"/>
      <family val="2"/>
    </font>
    <font>
      <sz val="11"/>
      <name val="Arial"/>
      <family val="2"/>
    </font>
    <font>
      <b/>
      <i/>
      <sz val="11"/>
      <name val="Arial"/>
      <family val="2"/>
    </font>
    <font>
      <i/>
      <sz val="11"/>
      <color theme="1"/>
      <name val="Arial"/>
      <family val="2"/>
    </font>
    <font>
      <b/>
      <i/>
      <sz val="11"/>
      <color rgb="FFC00000"/>
      <name val="Arial"/>
      <family val="2"/>
    </font>
    <font>
      <b/>
      <sz val="11"/>
      <color theme="4"/>
      <name val="Arial"/>
      <family val="2"/>
    </font>
    <font>
      <i/>
      <sz val="12"/>
      <color theme="0" tint="-0.499984740745262"/>
      <name val="Arial"/>
      <family val="2"/>
    </font>
    <font>
      <b/>
      <sz val="12"/>
      <color theme="0"/>
      <name val="Arial"/>
      <family val="2"/>
    </font>
    <font>
      <b/>
      <i/>
      <u/>
      <sz val="12"/>
      <name val="Arial"/>
      <family val="2"/>
    </font>
    <font>
      <b/>
      <sz val="12"/>
      <name val="Tahoma"/>
      <family val="2"/>
    </font>
    <font>
      <sz val="14"/>
      <name val="Arial"/>
      <family val="2"/>
    </font>
    <font>
      <b/>
      <i/>
      <sz val="12"/>
      <color theme="0" tint="-0.249977111117893"/>
      <name val="Arial"/>
      <family val="2"/>
    </font>
    <font>
      <i/>
      <sz val="10"/>
      <color theme="0" tint="-0.499984740745262"/>
      <name val="Arial"/>
      <family val="2"/>
    </font>
    <font>
      <b/>
      <u/>
      <sz val="12"/>
      <color theme="0"/>
      <name val="Arial"/>
      <family val="2"/>
    </font>
    <font>
      <i/>
      <sz val="11"/>
      <color theme="0" tint="-0.34998626667073579"/>
      <name val="Arial"/>
      <family val="2"/>
    </font>
    <font>
      <b/>
      <sz val="8"/>
      <name val="Arial"/>
      <family val="2"/>
    </font>
    <font>
      <sz val="12"/>
      <color theme="0" tint="-0.14999847407452621"/>
      <name val="Arial"/>
      <family val="2"/>
    </font>
    <font>
      <i/>
      <sz val="12"/>
      <color theme="0" tint="-0.14999847407452621"/>
      <name val="Arial"/>
      <family val="2"/>
    </font>
    <font>
      <sz val="12"/>
      <color theme="0"/>
      <name val="Arial"/>
      <family val="2"/>
    </font>
    <font>
      <i/>
      <sz val="12"/>
      <color theme="1"/>
      <name val="Arial"/>
      <family val="2"/>
    </font>
    <font>
      <b/>
      <i/>
      <sz val="11"/>
      <color theme="1"/>
      <name val="Arial"/>
      <family val="2"/>
    </font>
    <font>
      <b/>
      <u/>
      <sz val="12"/>
      <color theme="0" tint="-0.14999847407452621"/>
      <name val="Arial"/>
      <family val="2"/>
    </font>
    <font>
      <u/>
      <sz val="12"/>
      <color theme="10"/>
      <name val="Arial"/>
      <family val="2"/>
    </font>
    <font>
      <b/>
      <u/>
      <sz val="12"/>
      <color theme="10"/>
      <name val="Arial"/>
      <family val="2"/>
    </font>
    <font>
      <sz val="12"/>
      <color indexed="81"/>
      <name val="Tahoma"/>
      <family val="2"/>
    </font>
    <font>
      <b/>
      <i/>
      <sz val="11"/>
      <color rgb="FF00B050"/>
      <name val="Arial"/>
      <family val="2"/>
    </font>
    <font>
      <b/>
      <i/>
      <sz val="14"/>
      <color indexed="81"/>
      <name val="Tahoma"/>
      <family val="2"/>
    </font>
    <font>
      <u/>
      <sz val="12"/>
      <color theme="1"/>
      <name val="Calibri"/>
      <family val="2"/>
      <scheme val="minor"/>
    </font>
    <font>
      <b/>
      <sz val="12"/>
      <color theme="0" tint="-0.249977111117893"/>
      <name val="Arial"/>
      <family val="2"/>
    </font>
    <font>
      <sz val="12"/>
      <color theme="0" tint="-0.249977111117893"/>
      <name val="Arial"/>
      <family val="2"/>
    </font>
    <font>
      <b/>
      <sz val="11"/>
      <color rgb="FFFFFF00"/>
      <name val="Arial"/>
      <family val="2"/>
    </font>
    <font>
      <b/>
      <u/>
      <sz val="14"/>
      <color indexed="81"/>
      <name val="Tahoma"/>
      <family val="2"/>
    </font>
    <font>
      <b/>
      <sz val="12"/>
      <color theme="3"/>
      <name val="Calibri"/>
      <family val="2"/>
      <scheme val="minor"/>
    </font>
    <font>
      <b/>
      <i/>
      <u/>
      <sz val="12"/>
      <color theme="1"/>
      <name val="Calibri"/>
      <family val="2"/>
      <scheme val="minor"/>
    </font>
    <font>
      <b/>
      <sz val="14"/>
      <color rgb="FFFF0000"/>
      <name val="Calibri"/>
      <family val="2"/>
      <scheme val="minor"/>
    </font>
    <font>
      <u/>
      <sz val="12"/>
      <color theme="10"/>
      <name val="Calibri"/>
      <family val="2"/>
    </font>
    <font>
      <b/>
      <i/>
      <sz val="12"/>
      <color theme="1"/>
      <name val="Calibri"/>
      <family val="2"/>
      <scheme val="minor"/>
    </font>
    <font>
      <b/>
      <sz val="11"/>
      <color rgb="FFFF0000"/>
      <name val="Arial"/>
      <family val="2"/>
    </font>
    <font>
      <sz val="11"/>
      <color theme="1"/>
      <name val="Calibri"/>
      <family val="2"/>
    </font>
    <font>
      <b/>
      <sz val="16"/>
      <color indexed="81"/>
      <name val="Tahoma"/>
      <family val="2"/>
    </font>
    <font>
      <i/>
      <sz val="14"/>
      <color theme="1"/>
      <name val="Arial"/>
      <family val="2"/>
    </font>
    <font>
      <sz val="14"/>
      <color theme="1"/>
      <name val="Arial"/>
      <family val="2"/>
    </font>
    <font>
      <b/>
      <sz val="10"/>
      <name val="Arial"/>
      <family val="2"/>
    </font>
  </fonts>
  <fills count="15">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alignment vertical="top"/>
      <protection locked="0"/>
    </xf>
    <xf numFmtId="9" fontId="20" fillId="0" borderId="0" applyFont="0" applyFill="0" applyBorder="0" applyAlignment="0" applyProtection="0"/>
    <xf numFmtId="43" fontId="2" fillId="0" borderId="0" applyFont="0" applyFill="0" applyBorder="0" applyAlignment="0" applyProtection="0"/>
  </cellStyleXfs>
  <cellXfs count="825">
    <xf numFmtId="0" fontId="0" fillId="0" borderId="0" xfId="0"/>
    <xf numFmtId="0" fontId="6" fillId="0" borderId="0" xfId="0" applyFont="1" applyFill="1" applyBorder="1"/>
    <xf numFmtId="0" fontId="3" fillId="5" borderId="1" xfId="0" applyNumberFormat="1" applyFont="1" applyFill="1" applyBorder="1" applyAlignment="1">
      <alignment horizontal="left"/>
    </xf>
    <xf numFmtId="0" fontId="10" fillId="5" borderId="2" xfId="0" applyNumberFormat="1" applyFont="1" applyFill="1" applyBorder="1" applyAlignment="1">
      <alignment horizontal="center"/>
    </xf>
    <xf numFmtId="166" fontId="11" fillId="5" borderId="3" xfId="0" applyNumberFormat="1" applyFont="1" applyFill="1" applyBorder="1" applyAlignment="1">
      <alignment horizontal="center"/>
    </xf>
    <xf numFmtId="0" fontId="3" fillId="5" borderId="1" xfId="0" applyNumberFormat="1" applyFont="1" applyFill="1" applyBorder="1" applyAlignment="1"/>
    <xf numFmtId="0" fontId="4" fillId="2" borderId="5" xfId="0" applyNumberFormat="1" applyFont="1" applyFill="1" applyBorder="1" applyAlignment="1">
      <alignment horizontal="center"/>
    </xf>
    <xf numFmtId="0" fontId="4" fillId="2" borderId="4" xfId="0" applyNumberFormat="1" applyFont="1" applyFill="1" applyBorder="1" applyAlignment="1">
      <alignment horizontal="center"/>
    </xf>
    <xf numFmtId="0" fontId="6" fillId="2" borderId="4" xfId="0" applyNumberFormat="1" applyFont="1" applyFill="1" applyBorder="1" applyAlignment="1"/>
    <xf numFmtId="3" fontId="3" fillId="5" borderId="1" xfId="0" applyNumberFormat="1" applyFont="1" applyFill="1" applyBorder="1" applyAlignment="1">
      <alignment horizontal="left"/>
    </xf>
    <xf numFmtId="0" fontId="4" fillId="0" borderId="4" xfId="0" applyNumberFormat="1" applyFont="1" applyFill="1" applyBorder="1" applyAlignment="1">
      <alignment horizontal="center"/>
    </xf>
    <xf numFmtId="0" fontId="6" fillId="0" borderId="8" xfId="0" applyFont="1" applyFill="1" applyBorder="1"/>
    <xf numFmtId="0" fontId="6" fillId="0" borderId="0" xfId="0" applyFont="1" applyBorder="1"/>
    <xf numFmtId="0" fontId="15" fillId="0" borderId="4" xfId="0" applyFont="1" applyFill="1" applyBorder="1" applyAlignment="1">
      <alignment horizontal="center"/>
    </xf>
    <xf numFmtId="0" fontId="0" fillId="0" borderId="0" xfId="0" applyBorder="1"/>
    <xf numFmtId="0" fontId="15" fillId="0" borderId="0" xfId="0"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center"/>
    </xf>
    <xf numFmtId="0" fontId="6" fillId="0" borderId="2" xfId="0" applyFont="1" applyBorder="1"/>
    <xf numFmtId="0" fontId="6" fillId="0" borderId="0" xfId="0" applyFont="1" applyFill="1" applyBorder="1" applyAlignment="1">
      <alignment horizontal="center"/>
    </xf>
    <xf numFmtId="0" fontId="6" fillId="2" borderId="0" xfId="0" applyNumberFormat="1" applyFont="1" applyFill="1" applyBorder="1" applyAlignment="1"/>
    <xf numFmtId="0" fontId="4" fillId="0" borderId="4" xfId="0" applyFont="1" applyFill="1" applyBorder="1" applyAlignment="1">
      <alignment horizontal="center"/>
    </xf>
    <xf numFmtId="0" fontId="24" fillId="0" borderId="2" xfId="0" applyFont="1" applyBorder="1" applyAlignment="1">
      <alignment horizontal="center" vertical="center"/>
    </xf>
    <xf numFmtId="0" fontId="8" fillId="0" borderId="2" xfId="0" applyFont="1" applyFill="1" applyBorder="1" applyAlignment="1">
      <alignment horizontal="left"/>
    </xf>
    <xf numFmtId="9" fontId="9" fillId="0" borderId="0" xfId="0" applyNumberFormat="1" applyFont="1" applyFill="1" applyBorder="1" applyAlignment="1">
      <alignment horizontal="center"/>
    </xf>
    <xf numFmtId="0" fontId="0" fillId="0" borderId="0" xfId="0" applyFill="1" applyBorder="1"/>
    <xf numFmtId="0" fontId="6" fillId="5" borderId="2" xfId="0" applyFont="1" applyFill="1" applyBorder="1"/>
    <xf numFmtId="0" fontId="3" fillId="0" borderId="14" xfId="0" applyFont="1" applyFill="1" applyBorder="1" applyAlignment="1">
      <alignment horizontal="center"/>
    </xf>
    <xf numFmtId="0" fontId="4" fillId="0" borderId="5" xfId="0" applyFont="1" applyFill="1" applyBorder="1" applyAlignment="1">
      <alignment horizontal="center"/>
    </xf>
    <xf numFmtId="0" fontId="6" fillId="0" borderId="0" xfId="0" applyNumberFormat="1" applyFont="1" applyAlignment="1"/>
    <xf numFmtId="0" fontId="3" fillId="0" borderId="0" xfId="0" applyNumberFormat="1" applyFont="1" applyAlignment="1">
      <alignment horizontal="center"/>
    </xf>
    <xf numFmtId="0" fontId="6" fillId="0" borderId="0" xfId="0" applyNumberFormat="1" applyFont="1" applyFill="1" applyAlignment="1"/>
    <xf numFmtId="0" fontId="6" fillId="0" borderId="0" xfId="0" applyNumberFormat="1" applyFont="1" applyAlignment="1">
      <alignment horizontal="center"/>
    </xf>
    <xf numFmtId="173" fontId="6" fillId="0" borderId="0" xfId="0" applyNumberFormat="1" applyFont="1" applyAlignment="1"/>
    <xf numFmtId="0" fontId="3" fillId="0" borderId="0" xfId="0" applyNumberFormat="1" applyFont="1" applyAlignment="1"/>
    <xf numFmtId="3" fontId="6" fillId="0" borderId="0" xfId="0" applyNumberFormat="1" applyFont="1" applyAlignment="1"/>
    <xf numFmtId="0" fontId="6" fillId="0" borderId="0" xfId="0" applyNumberFormat="1" applyFont="1" applyFill="1" applyBorder="1" applyAlignment="1"/>
    <xf numFmtId="169" fontId="6" fillId="0" borderId="0" xfId="0" applyNumberFormat="1" applyFont="1" applyBorder="1" applyAlignment="1"/>
    <xf numFmtId="0" fontId="6" fillId="0" borderId="0" xfId="0" applyNumberFormat="1" applyFont="1" applyBorder="1" applyAlignment="1"/>
    <xf numFmtId="0" fontId="6" fillId="0" borderId="9" xfId="0" applyNumberFormat="1" applyFont="1" applyFill="1" applyBorder="1" applyAlignment="1"/>
    <xf numFmtId="0" fontId="6" fillId="0" borderId="9" xfId="0" applyNumberFormat="1" applyFont="1" applyBorder="1" applyAlignment="1"/>
    <xf numFmtId="6" fontId="6" fillId="0" borderId="0" xfId="0" applyNumberFormat="1" applyFont="1" applyFill="1" applyBorder="1" applyAlignment="1"/>
    <xf numFmtId="6" fontId="6" fillId="0" borderId="9" xfId="0" applyNumberFormat="1" applyFont="1" applyFill="1" applyBorder="1" applyAlignment="1"/>
    <xf numFmtId="0" fontId="3" fillId="0" borderId="0" xfId="0" applyNumberFormat="1" applyFont="1" applyFill="1" applyBorder="1" applyAlignment="1"/>
    <xf numFmtId="6" fontId="3" fillId="0" borderId="0" xfId="0" applyNumberFormat="1" applyFont="1" applyAlignment="1"/>
    <xf numFmtId="0" fontId="4" fillId="0" borderId="0" xfId="0" applyNumberFormat="1" applyFont="1" applyFill="1" applyBorder="1" applyAlignment="1"/>
    <xf numFmtId="0" fontId="4" fillId="0" borderId="0" xfId="0" applyNumberFormat="1" applyFont="1" applyAlignment="1"/>
    <xf numFmtId="0" fontId="4" fillId="0" borderId="0" xfId="0" applyNumberFormat="1" applyFont="1" applyFill="1" applyAlignment="1"/>
    <xf numFmtId="40" fontId="4" fillId="0" borderId="0" xfId="0" applyNumberFormat="1" applyFont="1" applyFill="1" applyAlignment="1">
      <alignment horizontal="center"/>
    </xf>
    <xf numFmtId="0" fontId="3" fillId="0" borderId="0" xfId="0" applyNumberFormat="1" applyFont="1" applyFill="1" applyAlignment="1"/>
    <xf numFmtId="6" fontId="3" fillId="0" borderId="0" xfId="0" applyNumberFormat="1" applyFont="1" applyFill="1" applyAlignment="1"/>
    <xf numFmtId="0" fontId="3" fillId="0" borderId="0" xfId="0" applyNumberFormat="1" applyFont="1" applyAlignment="1">
      <alignment wrapText="1"/>
    </xf>
    <xf numFmtId="6" fontId="6" fillId="0" borderId="0" xfId="0" applyNumberFormat="1" applyFont="1" applyAlignment="1"/>
    <xf numFmtId="6" fontId="6" fillId="0" borderId="9" xfId="0" applyNumberFormat="1" applyFont="1" applyBorder="1" applyAlignment="1"/>
    <xf numFmtId="0" fontId="21" fillId="0" borderId="0" xfId="0" applyNumberFormat="1" applyFont="1" applyAlignment="1">
      <alignment wrapText="1"/>
    </xf>
    <xf numFmtId="164" fontId="4" fillId="0" borderId="0" xfId="2" applyNumberFormat="1" applyFont="1" applyAlignment="1"/>
    <xf numFmtId="6" fontId="31" fillId="0" borderId="0" xfId="0" applyNumberFormat="1" applyFont="1" applyFill="1" applyAlignment="1">
      <alignment horizontal="center"/>
    </xf>
    <xf numFmtId="0" fontId="3" fillId="0" borderId="22" xfId="0" applyNumberFormat="1" applyFont="1" applyBorder="1" applyAlignment="1"/>
    <xf numFmtId="0" fontId="6" fillId="0" borderId="22" xfId="0" applyNumberFormat="1" applyFont="1" applyBorder="1" applyAlignment="1"/>
    <xf numFmtId="0" fontId="3" fillId="9" borderId="0" xfId="0" applyNumberFormat="1" applyFont="1" applyFill="1" applyBorder="1" applyAlignment="1"/>
    <xf numFmtId="0" fontId="6" fillId="9" borderId="0" xfId="0" applyNumberFormat="1" applyFont="1" applyFill="1" applyBorder="1" applyAlignment="1"/>
    <xf numFmtId="6" fontId="6" fillId="9" borderId="0" xfId="0" applyNumberFormat="1" applyFont="1" applyFill="1" applyBorder="1" applyAlignment="1"/>
    <xf numFmtId="0" fontId="21" fillId="9" borderId="0" xfId="0" applyNumberFormat="1" applyFont="1" applyFill="1" applyBorder="1" applyAlignment="1">
      <alignment horizontal="center"/>
    </xf>
    <xf numFmtId="0" fontId="6" fillId="9" borderId="0" xfId="0" applyNumberFormat="1" applyFont="1" applyFill="1" applyAlignment="1"/>
    <xf numFmtId="0" fontId="0" fillId="0" borderId="0" xfId="0" applyNumberFormat="1" applyAlignment="1"/>
    <xf numFmtId="0" fontId="25" fillId="0" borderId="0" xfId="0" applyFont="1" applyFill="1" applyAlignment="1">
      <alignment horizontal="center"/>
    </xf>
    <xf numFmtId="0" fontId="0" fillId="0" borderId="0" xfId="0" applyFill="1"/>
    <xf numFmtId="3" fontId="3" fillId="9" borderId="1" xfId="0" applyNumberFormat="1" applyFont="1" applyFill="1" applyBorder="1" applyAlignment="1">
      <alignment horizontal="left" vertical="center"/>
    </xf>
    <xf numFmtId="3" fontId="4" fillId="9" borderId="2" xfId="0" applyNumberFormat="1" applyFont="1" applyFill="1" applyBorder="1" applyAlignment="1">
      <alignment horizontal="center" vertical="center"/>
    </xf>
    <xf numFmtId="0" fontId="0" fillId="4" borderId="2" xfId="0" applyFill="1" applyBorder="1"/>
    <xf numFmtId="0" fontId="0" fillId="4" borderId="3" xfId="0" applyFill="1" applyBorder="1"/>
    <xf numFmtId="0" fontId="6" fillId="2" borderId="4" xfId="0" applyNumberFormat="1" applyFont="1" applyFill="1" applyBorder="1" applyAlignment="1">
      <alignment vertical="center"/>
    </xf>
    <xf numFmtId="0" fontId="6" fillId="0" borderId="4" xfId="0" applyNumberFormat="1" applyFont="1" applyFill="1" applyBorder="1" applyAlignment="1">
      <alignment vertical="center"/>
    </xf>
    <xf numFmtId="9" fontId="3" fillId="2" borderId="5" xfId="2" applyFont="1" applyFill="1" applyBorder="1" applyAlignment="1">
      <alignment horizontal="center"/>
    </xf>
    <xf numFmtId="0" fontId="34" fillId="0" borderId="0" xfId="3" applyNumberFormat="1" applyFont="1" applyBorder="1" applyAlignment="1" applyProtection="1">
      <alignment vertical="center"/>
    </xf>
    <xf numFmtId="9" fontId="35" fillId="2" borderId="5" xfId="2" applyFont="1" applyFill="1" applyBorder="1" applyAlignment="1">
      <alignment horizontal="center"/>
    </xf>
    <xf numFmtId="0" fontId="4" fillId="0" borderId="0" xfId="0" applyNumberFormat="1" applyFont="1" applyFill="1" applyBorder="1" applyAlignment="1">
      <alignment horizontal="center"/>
    </xf>
    <xf numFmtId="9" fontId="6" fillId="2" borderId="5" xfId="2" applyFont="1" applyFill="1" applyBorder="1" applyAlignment="1">
      <alignment horizontal="center" vertical="center"/>
    </xf>
    <xf numFmtId="166" fontId="11" fillId="0" borderId="0" xfId="0" applyNumberFormat="1" applyFont="1" applyFill="1" applyBorder="1" applyAlignment="1">
      <alignment horizontal="center"/>
    </xf>
    <xf numFmtId="0" fontId="4" fillId="0" borderId="0" xfId="0" applyNumberFormat="1" applyFont="1" applyAlignment="1">
      <alignment horizontal="center"/>
    </xf>
    <xf numFmtId="0" fontId="4" fillId="0" borderId="9" xfId="0" applyNumberFormat="1" applyFont="1" applyFill="1" applyBorder="1" applyAlignment="1">
      <alignment horizontal="center"/>
    </xf>
    <xf numFmtId="0" fontId="21" fillId="0" borderId="0" xfId="0" applyNumberFormat="1" applyFont="1" applyAlignment="1">
      <alignment horizontal="center"/>
    </xf>
    <xf numFmtId="0" fontId="4" fillId="0" borderId="0" xfId="0" applyNumberFormat="1" applyFont="1" applyFill="1" applyAlignment="1">
      <alignment horizontal="center"/>
    </xf>
    <xf numFmtId="172" fontId="6" fillId="0" borderId="0" xfId="0" applyNumberFormat="1" applyFont="1" applyFill="1" applyAlignment="1">
      <alignment horizontal="center"/>
    </xf>
    <xf numFmtId="6" fontId="6" fillId="0" borderId="0" xfId="0" applyNumberFormat="1" applyFont="1" applyBorder="1" applyAlignment="1"/>
    <xf numFmtId="10" fontId="6" fillId="0" borderId="0" xfId="2" applyNumberFormat="1" applyFont="1" applyAlignment="1"/>
    <xf numFmtId="9" fontId="6" fillId="0" borderId="0" xfId="0" applyNumberFormat="1" applyFont="1" applyAlignment="1"/>
    <xf numFmtId="41" fontId="6" fillId="0" borderId="0" xfId="0" applyNumberFormat="1" applyFont="1" applyAlignment="1"/>
    <xf numFmtId="2" fontId="31" fillId="0" borderId="0" xfId="0" applyNumberFormat="1" applyFont="1" applyFill="1" applyAlignment="1">
      <alignment horizontal="center"/>
    </xf>
    <xf numFmtId="0" fontId="6" fillId="9" borderId="22" xfId="0" applyNumberFormat="1" applyFont="1" applyFill="1" applyBorder="1" applyAlignment="1"/>
    <xf numFmtId="2" fontId="4" fillId="0" borderId="0" xfId="0" applyNumberFormat="1" applyFont="1" applyBorder="1" applyAlignment="1"/>
    <xf numFmtId="0" fontId="6" fillId="0" borderId="22" xfId="0" applyFont="1" applyFill="1" applyBorder="1"/>
    <xf numFmtId="8" fontId="4" fillId="0" borderId="0" xfId="0" applyNumberFormat="1" applyFont="1" applyFill="1" applyBorder="1" applyAlignment="1">
      <alignment horizontal="center"/>
    </xf>
    <xf numFmtId="0" fontId="38" fillId="4" borderId="1" xfId="0" applyFont="1" applyFill="1" applyBorder="1" applyAlignment="1">
      <alignment horizontal="left" vertical="center"/>
    </xf>
    <xf numFmtId="0" fontId="25" fillId="4" borderId="2" xfId="0" applyFont="1" applyFill="1" applyBorder="1" applyAlignment="1">
      <alignment horizontal="center"/>
    </xf>
    <xf numFmtId="0" fontId="39" fillId="6" borderId="1" xfId="0" applyFont="1" applyFill="1" applyBorder="1"/>
    <xf numFmtId="0" fontId="40" fillId="6" borderId="2" xfId="0" applyFont="1" applyFill="1" applyBorder="1"/>
    <xf numFmtId="0" fontId="41" fillId="6" borderId="2" xfId="0" applyFont="1" applyFill="1" applyBorder="1" applyAlignment="1">
      <alignment horizontal="center"/>
    </xf>
    <xf numFmtId="9" fontId="24" fillId="0" borderId="4" xfId="0" applyNumberFormat="1" applyFont="1" applyFill="1" applyBorder="1" applyAlignment="1">
      <alignment horizontal="center"/>
    </xf>
    <xf numFmtId="0" fontId="4" fillId="4" borderId="3" xfId="0" applyNumberFormat="1" applyFont="1" applyFill="1" applyBorder="1" applyAlignment="1">
      <alignment horizontal="center" vertical="center"/>
    </xf>
    <xf numFmtId="9" fontId="6" fillId="0" borderId="0" xfId="2" applyFont="1" applyFill="1" applyBorder="1" applyAlignment="1">
      <alignment horizontal="center" vertical="center"/>
    </xf>
    <xf numFmtId="0" fontId="21" fillId="4" borderId="1" xfId="0" applyFont="1" applyFill="1" applyBorder="1"/>
    <xf numFmtId="0" fontId="6" fillId="4" borderId="2" xfId="0" applyFont="1" applyFill="1" applyBorder="1"/>
    <xf numFmtId="0" fontId="6" fillId="4" borderId="3" xfId="0" applyFont="1" applyFill="1" applyBorder="1"/>
    <xf numFmtId="0" fontId="40" fillId="6" borderId="3" xfId="0" applyFont="1" applyFill="1" applyBorder="1"/>
    <xf numFmtId="0" fontId="6" fillId="2" borderId="5" xfId="0" applyNumberFormat="1" applyFont="1" applyFill="1" applyBorder="1" applyAlignment="1">
      <alignment vertical="center"/>
    </xf>
    <xf numFmtId="169" fontId="6" fillId="0" borderId="5" xfId="1" applyNumberFormat="1" applyFont="1" applyBorder="1" applyAlignment="1">
      <alignment horizontal="center" vertical="center"/>
    </xf>
    <xf numFmtId="0" fontId="0" fillId="0" borderId="4" xfId="0" applyFill="1" applyBorder="1"/>
    <xf numFmtId="0" fontId="4" fillId="9" borderId="29" xfId="0" applyNumberFormat="1" applyFont="1" applyFill="1" applyBorder="1" applyAlignment="1">
      <alignment horizontal="center" vertical="center"/>
    </xf>
    <xf numFmtId="0" fontId="4" fillId="9" borderId="29" xfId="0" applyNumberFormat="1" applyFont="1" applyFill="1" applyBorder="1" applyAlignment="1">
      <alignment horizontal="center" vertical="center" wrapText="1"/>
    </xf>
    <xf numFmtId="0" fontId="33" fillId="2" borderId="0" xfId="0" applyNumberFormat="1" applyFont="1" applyFill="1" applyBorder="1" applyAlignment="1">
      <alignment vertical="center"/>
    </xf>
    <xf numFmtId="9" fontId="7" fillId="2" borderId="0" xfId="2" applyFont="1" applyFill="1" applyBorder="1" applyAlignment="1">
      <alignment horizontal="center" vertical="center"/>
    </xf>
    <xf numFmtId="9" fontId="24" fillId="0" borderId="0" xfId="0" applyNumberFormat="1" applyFont="1" applyFill="1" applyBorder="1" applyAlignment="1">
      <alignment horizontal="center"/>
    </xf>
    <xf numFmtId="0" fontId="6" fillId="0" borderId="0" xfId="0" applyNumberFormat="1" applyFont="1" applyFill="1" applyBorder="1" applyAlignment="1">
      <alignment vertical="center"/>
    </xf>
    <xf numFmtId="169" fontId="6" fillId="0" borderId="0" xfId="1" applyNumberFormat="1" applyFont="1" applyFill="1" applyBorder="1" applyAlignment="1">
      <alignment horizontal="center" vertical="center"/>
    </xf>
    <xf numFmtId="0" fontId="33" fillId="0" borderId="0" xfId="0" applyNumberFormat="1" applyFont="1" applyFill="1" applyBorder="1" applyAlignment="1">
      <alignment vertical="center"/>
    </xf>
    <xf numFmtId="169"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0" fontId="3" fillId="9" borderId="30" xfId="0" applyNumberFormat="1" applyFont="1" applyFill="1" applyBorder="1" applyAlignment="1">
      <alignment vertical="center"/>
    </xf>
    <xf numFmtId="169" fontId="6" fillId="0" borderId="4" xfId="0" applyNumberFormat="1" applyFont="1" applyFill="1" applyBorder="1" applyAlignment="1">
      <alignment vertical="center"/>
    </xf>
    <xf numFmtId="0" fontId="3" fillId="0" borderId="5" xfId="0" applyNumberFormat="1" applyFont="1" applyFill="1" applyBorder="1" applyAlignment="1">
      <alignment vertical="center"/>
    </xf>
    <xf numFmtId="0" fontId="6" fillId="0" borderId="5" xfId="0" applyNumberFormat="1" applyFont="1" applyFill="1" applyBorder="1" applyAlignment="1">
      <alignment vertical="center"/>
    </xf>
    <xf numFmtId="0" fontId="6" fillId="0" borderId="28" xfId="0" applyNumberFormat="1" applyFont="1" applyFill="1" applyBorder="1" applyAlignment="1">
      <alignment vertical="center"/>
    </xf>
    <xf numFmtId="6" fontId="6" fillId="0" borderId="28" xfId="0" applyNumberFormat="1" applyFont="1" applyFill="1" applyBorder="1" applyAlignment="1">
      <alignment vertical="center"/>
    </xf>
    <xf numFmtId="169" fontId="6" fillId="0" borderId="5" xfId="0" applyNumberFormat="1" applyFont="1" applyFill="1" applyBorder="1" applyAlignment="1">
      <alignment vertical="center"/>
    </xf>
    <xf numFmtId="169" fontId="3" fillId="0" borderId="5" xfId="0" applyNumberFormat="1" applyFont="1" applyFill="1" applyBorder="1" applyAlignment="1">
      <alignment vertical="center"/>
    </xf>
    <xf numFmtId="169" fontId="6" fillId="0" borderId="4" xfId="2" applyNumberFormat="1" applyFont="1" applyFill="1" applyBorder="1" applyAlignment="1">
      <alignment vertical="center"/>
    </xf>
    <xf numFmtId="9" fontId="35" fillId="0" borderId="0" xfId="2" applyFont="1" applyFill="1" applyBorder="1" applyAlignment="1">
      <alignment horizontal="center"/>
    </xf>
    <xf numFmtId="165" fontId="7" fillId="0" borderId="0" xfId="1" applyNumberFormat="1" applyFont="1" applyBorder="1" applyAlignment="1">
      <alignment horizontal="center" vertical="center"/>
    </xf>
    <xf numFmtId="169" fontId="6" fillId="0" borderId="4" xfId="1" applyNumberFormat="1" applyFont="1" applyBorder="1" applyAlignment="1">
      <alignment horizontal="center" vertical="center"/>
    </xf>
    <xf numFmtId="0" fontId="6" fillId="2" borderId="28" xfId="0" applyNumberFormat="1" applyFont="1" applyFill="1" applyBorder="1" applyAlignment="1">
      <alignment vertical="center"/>
    </xf>
    <xf numFmtId="169" fontId="6" fillId="0" borderId="28" xfId="1" applyNumberFormat="1" applyFont="1" applyBorder="1" applyAlignment="1">
      <alignment horizontal="center" vertical="center"/>
    </xf>
    <xf numFmtId="169" fontId="6" fillId="0" borderId="28" xfId="2"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xf>
    <xf numFmtId="169" fontId="6" fillId="0" borderId="28" xfId="0" applyNumberFormat="1" applyFont="1" applyFill="1" applyBorder="1" applyAlignment="1">
      <alignment vertical="center"/>
    </xf>
    <xf numFmtId="0" fontId="6" fillId="0" borderId="4" xfId="0" applyNumberFormat="1" applyFont="1" applyFill="1" applyBorder="1" applyAlignment="1">
      <alignment horizontal="right" vertical="center"/>
    </xf>
    <xf numFmtId="0" fontId="6" fillId="0" borderId="28" xfId="0" applyNumberFormat="1" applyFont="1" applyFill="1" applyBorder="1" applyAlignment="1">
      <alignment horizontal="right" vertical="center"/>
    </xf>
    <xf numFmtId="169" fontId="6" fillId="0" borderId="5" xfId="2" applyNumberFormat="1" applyFont="1" applyFill="1" applyBorder="1" applyAlignment="1">
      <alignment vertical="center"/>
    </xf>
    <xf numFmtId="0" fontId="6" fillId="0" borderId="5" xfId="0" applyNumberFormat="1" applyFont="1" applyFill="1" applyBorder="1" applyAlignment="1">
      <alignment horizontal="right" vertical="center"/>
    </xf>
    <xf numFmtId="0" fontId="4" fillId="9" borderId="31" xfId="0" applyNumberFormat="1" applyFont="1" applyFill="1" applyBorder="1" applyAlignment="1">
      <alignment horizontal="center" vertical="center" wrapText="1"/>
    </xf>
    <xf numFmtId="9" fontId="24" fillId="2" borderId="5" xfId="2" applyFont="1" applyFill="1" applyBorder="1" applyAlignment="1">
      <alignment horizontal="center" vertical="center"/>
    </xf>
    <xf numFmtId="0" fontId="42" fillId="2" borderId="4" xfId="0" applyNumberFormat="1" applyFont="1" applyFill="1" applyBorder="1" applyAlignment="1">
      <alignment vertical="center"/>
    </xf>
    <xf numFmtId="169" fontId="24" fillId="0" borderId="4" xfId="1" applyNumberFormat="1" applyFont="1" applyBorder="1" applyAlignment="1">
      <alignment horizontal="center" vertical="center"/>
    </xf>
    <xf numFmtId="0" fontId="42" fillId="2" borderId="28" xfId="0" applyNumberFormat="1" applyFont="1" applyFill="1" applyBorder="1" applyAlignment="1">
      <alignment vertical="center"/>
    </xf>
    <xf numFmtId="169" fontId="24" fillId="0" borderId="28" xfId="1" applyNumberFormat="1" applyFont="1" applyBorder="1" applyAlignment="1">
      <alignment horizontal="center" vertical="center"/>
    </xf>
    <xf numFmtId="9" fontId="24" fillId="2" borderId="28" xfId="2" applyFont="1" applyFill="1" applyBorder="1" applyAlignment="1">
      <alignment horizontal="center" vertical="center"/>
    </xf>
    <xf numFmtId="0" fontId="43" fillId="0" borderId="0" xfId="0" applyFont="1" applyFill="1" applyBorder="1" applyAlignment="1">
      <alignment horizontal="left"/>
    </xf>
    <xf numFmtId="0" fontId="43" fillId="0" borderId="0" xfId="0" applyFont="1" applyFill="1" applyBorder="1"/>
    <xf numFmtId="0" fontId="46" fillId="0" borderId="0" xfId="0" applyFont="1" applyBorder="1"/>
    <xf numFmtId="0" fontId="47" fillId="0" borderId="0" xfId="0" applyFont="1" applyBorder="1"/>
    <xf numFmtId="0" fontId="45" fillId="0" borderId="0" xfId="0" applyFont="1" applyBorder="1" applyAlignment="1">
      <alignment vertical="center"/>
    </xf>
    <xf numFmtId="0" fontId="29" fillId="0" borderId="0" xfId="0" applyFont="1" applyBorder="1" applyAlignment="1">
      <alignment vertical="center"/>
    </xf>
    <xf numFmtId="0" fontId="45" fillId="0" borderId="0" xfId="0" applyFont="1" applyBorder="1" applyAlignment="1">
      <alignment vertical="center" wrapText="1"/>
    </xf>
    <xf numFmtId="0" fontId="45" fillId="0" borderId="0" xfId="0" applyFont="1" applyBorder="1" applyAlignment="1"/>
    <xf numFmtId="0" fontId="45" fillId="0" borderId="0" xfId="0" applyFont="1" applyBorder="1" applyAlignment="1">
      <alignment wrapText="1"/>
    </xf>
    <xf numFmtId="0" fontId="45" fillId="0" borderId="0" xfId="0" applyFont="1" applyBorder="1"/>
    <xf numFmtId="0" fontId="45" fillId="0" borderId="0" xfId="0" applyFont="1" applyFill="1" applyBorder="1" applyAlignment="1">
      <alignment wrapText="1"/>
    </xf>
    <xf numFmtId="0" fontId="45" fillId="0" borderId="0" xfId="0" applyFont="1" applyFill="1" applyBorder="1" applyAlignment="1"/>
    <xf numFmtId="0" fontId="29" fillId="0" borderId="0" xfId="0" applyFont="1" applyBorder="1" applyAlignment="1">
      <alignment wrapText="1"/>
    </xf>
    <xf numFmtId="0" fontId="49" fillId="0" borderId="0" xfId="0" applyFont="1"/>
    <xf numFmtId="0" fontId="49" fillId="0" borderId="0" xfId="0" applyFont="1" applyAlignment="1">
      <alignment horizontal="center"/>
    </xf>
    <xf numFmtId="0" fontId="49" fillId="0" borderId="0" xfId="0" applyFont="1" applyAlignment="1">
      <alignment horizontal="center" vertical="center"/>
    </xf>
    <xf numFmtId="0" fontId="51" fillId="5" borderId="19" xfId="0" applyFont="1" applyFill="1" applyBorder="1" applyAlignment="1">
      <alignment horizontal="center" wrapText="1"/>
    </xf>
    <xf numFmtId="0" fontId="51" fillId="5" borderId="11" xfId="0" applyFont="1" applyFill="1" applyBorder="1" applyAlignment="1">
      <alignment horizontal="center" wrapText="1"/>
    </xf>
    <xf numFmtId="0" fontId="51" fillId="5" borderId="20" xfId="0" applyFont="1" applyFill="1" applyBorder="1" applyAlignment="1">
      <alignment horizontal="center" wrapText="1"/>
    </xf>
    <xf numFmtId="0" fontId="51" fillId="5" borderId="17" xfId="0" applyFont="1" applyFill="1" applyBorder="1" applyAlignment="1">
      <alignment horizontal="center"/>
    </xf>
    <xf numFmtId="0" fontId="51" fillId="5" borderId="0" xfId="0" applyFont="1" applyFill="1" applyBorder="1" applyAlignment="1">
      <alignment horizontal="center"/>
    </xf>
    <xf numFmtId="0" fontId="51" fillId="5" borderId="9" xfId="0" applyFont="1" applyFill="1" applyBorder="1" applyAlignment="1">
      <alignment horizontal="center"/>
    </xf>
    <xf numFmtId="0" fontId="51" fillId="5" borderId="18" xfId="0" applyFont="1" applyFill="1" applyBorder="1" applyAlignment="1">
      <alignment horizontal="center"/>
    </xf>
    <xf numFmtId="0" fontId="49" fillId="0" borderId="19" xfId="0" applyFont="1" applyBorder="1" applyAlignment="1">
      <alignment horizontal="center"/>
    </xf>
    <xf numFmtId="0" fontId="49" fillId="0" borderId="11" xfId="0" applyFont="1" applyBorder="1" applyAlignment="1">
      <alignment horizontal="center"/>
    </xf>
    <xf numFmtId="0" fontId="49" fillId="0" borderId="11" xfId="0" applyFont="1" applyBorder="1"/>
    <xf numFmtId="6" fontId="49" fillId="0" borderId="0" xfId="0" applyNumberFormat="1" applyFont="1" applyBorder="1" applyAlignment="1">
      <alignment horizontal="center" wrapText="1"/>
    </xf>
    <xf numFmtId="0" fontId="49" fillId="0" borderId="0" xfId="0" applyFont="1" applyFill="1" applyBorder="1"/>
    <xf numFmtId="0" fontId="49" fillId="0" borderId="17" xfId="0" applyFont="1" applyBorder="1" applyAlignment="1">
      <alignment horizontal="center"/>
    </xf>
    <xf numFmtId="2" fontId="49" fillId="0" borderId="0" xfId="0" applyNumberFormat="1" applyFont="1" applyBorder="1" applyAlignment="1">
      <alignment horizontal="center" wrapText="1"/>
    </xf>
    <xf numFmtId="10" fontId="49" fillId="0" borderId="0" xfId="2" applyNumberFormat="1" applyFont="1" applyBorder="1" applyAlignment="1">
      <alignment horizontal="center" wrapText="1"/>
    </xf>
    <xf numFmtId="2" fontId="49" fillId="0" borderId="18" xfId="2" applyNumberFormat="1" applyFont="1" applyBorder="1" applyAlignment="1">
      <alignment horizontal="center" wrapText="1"/>
    </xf>
    <xf numFmtId="0" fontId="49" fillId="0" borderId="0" xfId="0" applyFont="1" applyFill="1" applyBorder="1" applyAlignment="1">
      <alignment wrapText="1"/>
    </xf>
    <xf numFmtId="0" fontId="49" fillId="0" borderId="0" xfId="0" applyFont="1" applyAlignment="1">
      <alignment wrapText="1"/>
    </xf>
    <xf numFmtId="0" fontId="49" fillId="0" borderId="17" xfId="0" applyFont="1" applyBorder="1" applyAlignment="1">
      <alignment horizontal="center" wrapText="1"/>
    </xf>
    <xf numFmtId="0" fontId="49" fillId="0" borderId="15" xfId="0" applyFont="1" applyBorder="1"/>
    <xf numFmtId="0" fontId="49" fillId="0" borderId="9" xfId="0" applyFont="1" applyBorder="1"/>
    <xf numFmtId="0" fontId="51" fillId="4" borderId="1" xfId="0" applyFont="1" applyFill="1" applyBorder="1" applyAlignment="1">
      <alignment horizontal="left" vertical="center"/>
    </xf>
    <xf numFmtId="0" fontId="49" fillId="4" borderId="2" xfId="0" applyFont="1" applyFill="1" applyBorder="1" applyAlignment="1">
      <alignment horizontal="left" vertical="center"/>
    </xf>
    <xf numFmtId="0" fontId="52" fillId="4" borderId="2" xfId="0" applyFont="1" applyFill="1" applyBorder="1" applyAlignment="1">
      <alignment horizontal="left" vertical="center"/>
    </xf>
    <xf numFmtId="167" fontId="52" fillId="4" borderId="2" xfId="0" applyNumberFormat="1" applyFont="1" applyFill="1" applyBorder="1" applyAlignment="1">
      <alignment horizontal="left" vertical="center"/>
    </xf>
    <xf numFmtId="0" fontId="52" fillId="4" borderId="3" xfId="0" applyFont="1" applyFill="1" applyBorder="1" applyAlignment="1">
      <alignment horizontal="left" vertical="center"/>
    </xf>
    <xf numFmtId="0" fontId="52" fillId="0" borderId="0" xfId="0" applyFont="1" applyFill="1" applyBorder="1" applyAlignment="1">
      <alignment horizontal="center"/>
    </xf>
    <xf numFmtId="169" fontId="52" fillId="0" borderId="0" xfId="0" applyNumberFormat="1" applyFont="1" applyFill="1" applyBorder="1" applyAlignment="1">
      <alignment horizontal="center"/>
    </xf>
    <xf numFmtId="0" fontId="52" fillId="0" borderId="0" xfId="0" applyFont="1" applyFill="1" applyBorder="1"/>
    <xf numFmtId="0" fontId="53" fillId="0" borderId="11" xfId="0" applyFont="1" applyFill="1" applyBorder="1"/>
    <xf numFmtId="0" fontId="53" fillId="0" borderId="20" xfId="0" applyFont="1" applyFill="1" applyBorder="1"/>
    <xf numFmtId="6" fontId="54" fillId="0" borderId="9" xfId="0" applyNumberFormat="1" applyFont="1" applyFill="1" applyBorder="1" applyAlignment="1">
      <alignment horizontal="center" wrapText="1"/>
    </xf>
    <xf numFmtId="6" fontId="54" fillId="0" borderId="16" xfId="0" applyNumberFormat="1" applyFont="1" applyFill="1" applyBorder="1" applyAlignment="1">
      <alignment horizontal="center" wrapText="1"/>
    </xf>
    <xf numFmtId="6" fontId="54" fillId="0" borderId="0" xfId="0" applyNumberFormat="1" applyFont="1" applyFill="1" applyBorder="1" applyAlignment="1">
      <alignment horizontal="center" wrapText="1"/>
    </xf>
    <xf numFmtId="0" fontId="50" fillId="8" borderId="12" xfId="0" applyFont="1" applyFill="1" applyBorder="1" applyAlignment="1">
      <alignment vertical="center"/>
    </xf>
    <xf numFmtId="0" fontId="50" fillId="8" borderId="13" xfId="0" applyFont="1" applyFill="1" applyBorder="1" applyAlignment="1">
      <alignment vertical="center"/>
    </xf>
    <xf numFmtId="0" fontId="50" fillId="8" borderId="14" xfId="0" applyFont="1" applyFill="1" applyBorder="1" applyAlignment="1">
      <alignment vertical="center"/>
    </xf>
    <xf numFmtId="0" fontId="51" fillId="0" borderId="17" xfId="0" applyFont="1" applyBorder="1"/>
    <xf numFmtId="0" fontId="55" fillId="0" borderId="0" xfId="0" applyFont="1" applyBorder="1" applyAlignment="1">
      <alignment horizontal="center"/>
    </xf>
    <xf numFmtId="0" fontId="51" fillId="0" borderId="15" xfId="0" applyFont="1" applyBorder="1"/>
    <xf numFmtId="0" fontId="55" fillId="0" borderId="9" xfId="0" applyFont="1" applyBorder="1" applyAlignment="1">
      <alignment horizontal="center"/>
    </xf>
    <xf numFmtId="0" fontId="55" fillId="0" borderId="0" xfId="0" applyFont="1" applyAlignment="1">
      <alignment horizontal="center" wrapText="1"/>
    </xf>
    <xf numFmtId="0" fontId="49" fillId="0" borderId="0" xfId="0" applyFont="1" applyBorder="1" applyAlignment="1">
      <alignment wrapText="1"/>
    </xf>
    <xf numFmtId="0" fontId="44" fillId="5" borderId="12" xfId="0" applyFont="1" applyFill="1" applyBorder="1"/>
    <xf numFmtId="0" fontId="49" fillId="0" borderId="0" xfId="0" applyFont="1" applyFill="1" applyBorder="1" applyAlignment="1">
      <alignment horizontal="center"/>
    </xf>
    <xf numFmtId="0" fontId="49" fillId="0" borderId="0" xfId="0" applyFont="1" applyBorder="1" applyAlignment="1">
      <alignment horizontal="center"/>
    </xf>
    <xf numFmtId="167" fontId="49" fillId="0" borderId="0" xfId="0" applyNumberFormat="1" applyFont="1" applyFill="1" applyBorder="1" applyAlignment="1">
      <alignment horizontal="center"/>
    </xf>
    <xf numFmtId="164" fontId="49" fillId="0" borderId="21" xfId="2" applyNumberFormat="1" applyFont="1" applyBorder="1" applyAlignment="1">
      <alignment horizontal="center"/>
    </xf>
    <xf numFmtId="164" fontId="49" fillId="0" borderId="0" xfId="2" applyNumberFormat="1" applyFont="1" applyFill="1" applyBorder="1" applyAlignment="1">
      <alignment horizontal="center"/>
    </xf>
    <xf numFmtId="164" fontId="49" fillId="0" borderId="0" xfId="2" applyNumberFormat="1" applyFont="1" applyBorder="1" applyAlignment="1">
      <alignment horizontal="center"/>
    </xf>
    <xf numFmtId="0" fontId="49" fillId="0" borderId="21" xfId="0" applyFont="1" applyBorder="1" applyAlignment="1">
      <alignment horizontal="center"/>
    </xf>
    <xf numFmtId="169" fontId="49" fillId="0" borderId="21" xfId="0" applyNumberFormat="1" applyFont="1" applyBorder="1" applyAlignment="1">
      <alignment horizontal="center"/>
    </xf>
    <xf numFmtId="169" fontId="49" fillId="0" borderId="0" xfId="0" applyNumberFormat="1" applyFont="1" applyFill="1" applyBorder="1" applyAlignment="1">
      <alignment horizontal="center"/>
    </xf>
    <xf numFmtId="169" fontId="49" fillId="0" borderId="0" xfId="0" applyNumberFormat="1" applyFont="1" applyBorder="1" applyAlignment="1">
      <alignment horizontal="center"/>
    </xf>
    <xf numFmtId="0" fontId="55" fillId="0" borderId="0" xfId="0" applyFont="1" applyBorder="1" applyAlignment="1">
      <alignment horizontal="center" wrapText="1"/>
    </xf>
    <xf numFmtId="171" fontId="49" fillId="0" borderId="0" xfId="0" applyNumberFormat="1" applyFont="1" applyFill="1" applyBorder="1" applyAlignment="1">
      <alignment horizontal="center"/>
    </xf>
    <xf numFmtId="9" fontId="49" fillId="0" borderId="21" xfId="0" applyNumberFormat="1" applyFont="1" applyBorder="1" applyAlignment="1">
      <alignment horizontal="center"/>
    </xf>
    <xf numFmtId="9" fontId="49" fillId="0" borderId="0" xfId="0" applyNumberFormat="1" applyFont="1" applyFill="1" applyBorder="1" applyAlignment="1">
      <alignment horizontal="center"/>
    </xf>
    <xf numFmtId="9" fontId="49" fillId="0" borderId="0" xfId="0" applyNumberFormat="1" applyFont="1" applyBorder="1" applyAlignment="1">
      <alignment horizontal="center"/>
    </xf>
    <xf numFmtId="0" fontId="49" fillId="0" borderId="5" xfId="0" applyFont="1" applyBorder="1" applyAlignment="1">
      <alignment horizontal="center"/>
    </xf>
    <xf numFmtId="0" fontId="49" fillId="0" borderId="0" xfId="0" applyFont="1" applyBorder="1"/>
    <xf numFmtId="0" fontId="30" fillId="5" borderId="23" xfId="0" applyFont="1" applyFill="1" applyBorder="1" applyAlignment="1">
      <alignment vertical="center"/>
    </xf>
    <xf numFmtId="0" fontId="30" fillId="5" borderId="10" xfId="0" applyFont="1" applyFill="1" applyBorder="1" applyAlignment="1">
      <alignment vertical="center"/>
    </xf>
    <xf numFmtId="0" fontId="45" fillId="5" borderId="24" xfId="0" applyFont="1" applyFill="1" applyBorder="1" applyAlignment="1">
      <alignment vertical="center"/>
    </xf>
    <xf numFmtId="0" fontId="29" fillId="8" borderId="8" xfId="0" applyFont="1" applyFill="1" applyBorder="1" applyAlignment="1">
      <alignment vertical="center"/>
    </xf>
    <xf numFmtId="0" fontId="45" fillId="8" borderId="25" xfId="0" applyFont="1" applyFill="1" applyBorder="1" applyAlignment="1">
      <alignment vertical="center"/>
    </xf>
    <xf numFmtId="0" fontId="29" fillId="8" borderId="0" xfId="0" applyFont="1" applyFill="1" applyBorder="1" applyAlignment="1">
      <alignment vertical="center"/>
    </xf>
    <xf numFmtId="0" fontId="29" fillId="8" borderId="25" xfId="0" applyFont="1" applyFill="1" applyBorder="1" applyAlignment="1">
      <alignment vertical="center"/>
    </xf>
    <xf numFmtId="0" fontId="29" fillId="8" borderId="8" xfId="0" applyFont="1" applyFill="1" applyBorder="1" applyAlignment="1">
      <alignment horizontal="left" vertical="top" wrapText="1"/>
    </xf>
    <xf numFmtId="0" fontId="45" fillId="8" borderId="0" xfId="0" applyFont="1" applyFill="1" applyBorder="1" applyAlignment="1">
      <alignment vertical="center" wrapText="1"/>
    </xf>
    <xf numFmtId="0" fontId="45" fillId="8" borderId="25" xfId="0" applyFont="1" applyFill="1" applyBorder="1" applyAlignment="1">
      <alignment vertical="center" wrapText="1"/>
    </xf>
    <xf numFmtId="0" fontId="45" fillId="8" borderId="8" xfId="0" applyFont="1" applyFill="1" applyBorder="1" applyAlignment="1"/>
    <xf numFmtId="0" fontId="45" fillId="8" borderId="0" xfId="0" applyFont="1" applyFill="1" applyBorder="1" applyAlignment="1"/>
    <xf numFmtId="0" fontId="45" fillId="8" borderId="25" xfId="0" applyFont="1" applyFill="1" applyBorder="1" applyAlignment="1"/>
    <xf numFmtId="0" fontId="29" fillId="8" borderId="8" xfId="0" applyFont="1" applyFill="1" applyBorder="1" applyAlignment="1">
      <alignment vertical="top" wrapText="1"/>
    </xf>
    <xf numFmtId="0" fontId="45" fillId="8" borderId="0" xfId="0" applyFont="1" applyFill="1" applyBorder="1" applyAlignment="1">
      <alignment wrapText="1"/>
    </xf>
    <xf numFmtId="0" fontId="45" fillId="8" borderId="25" xfId="0" applyFont="1" applyFill="1" applyBorder="1" applyAlignment="1">
      <alignment wrapText="1"/>
    </xf>
    <xf numFmtId="0" fontId="46" fillId="8" borderId="0" xfId="0" applyFont="1" applyFill="1" applyBorder="1" applyAlignment="1">
      <alignment vertical="center"/>
    </xf>
    <xf numFmtId="0" fontId="29" fillId="8" borderId="25" xfId="0" applyFont="1" applyFill="1" applyBorder="1" applyAlignment="1">
      <alignment wrapText="1"/>
    </xf>
    <xf numFmtId="0" fontId="45" fillId="8" borderId="26" xfId="0" applyFont="1" applyFill="1" applyBorder="1" applyAlignment="1"/>
    <xf numFmtId="0" fontId="45" fillId="8" borderId="22" xfId="0" applyFont="1" applyFill="1" applyBorder="1" applyAlignment="1"/>
    <xf numFmtId="0" fontId="45" fillId="8" borderId="27" xfId="0" applyFont="1" applyFill="1" applyBorder="1" applyAlignment="1"/>
    <xf numFmtId="2" fontId="49" fillId="0" borderId="0" xfId="0" applyNumberFormat="1" applyFont="1" applyBorder="1"/>
    <xf numFmtId="9" fontId="57" fillId="0" borderId="0" xfId="0" applyNumberFormat="1" applyFont="1" applyBorder="1" applyAlignment="1">
      <alignment horizontal="center"/>
    </xf>
    <xf numFmtId="0" fontId="57" fillId="0" borderId="0" xfId="0" applyFont="1" applyBorder="1" applyAlignment="1">
      <alignment horizontal="center"/>
    </xf>
    <xf numFmtId="0" fontId="50" fillId="0" borderId="0" xfId="0" applyFont="1" applyFill="1" applyBorder="1" applyAlignment="1">
      <alignment vertical="center"/>
    </xf>
    <xf numFmtId="0" fontId="49" fillId="0" borderId="0" xfId="0" applyFont="1" applyFill="1"/>
    <xf numFmtId="9" fontId="50" fillId="0" borderId="0" xfId="0" applyNumberFormat="1" applyFont="1" applyFill="1" applyBorder="1" applyAlignment="1">
      <alignment vertical="center"/>
    </xf>
    <xf numFmtId="0" fontId="49" fillId="0" borderId="0" xfId="0" applyFont="1" applyBorder="1" applyAlignment="1"/>
    <xf numFmtId="0" fontId="6" fillId="0" borderId="0" xfId="0" applyFont="1" applyFill="1" applyBorder="1" applyAlignment="1">
      <alignment horizontal="right"/>
    </xf>
    <xf numFmtId="0" fontId="36" fillId="0" borderId="0" xfId="0" applyNumberFormat="1" applyFont="1" applyAlignment="1">
      <alignment horizontal="center"/>
    </xf>
    <xf numFmtId="0" fontId="6" fillId="0" borderId="0" xfId="0" applyNumberFormat="1" applyFont="1" applyFill="1" applyBorder="1" applyAlignment="1">
      <alignment horizontal="left" vertical="center"/>
    </xf>
    <xf numFmtId="9" fontId="28" fillId="0" borderId="0" xfId="0" applyNumberFormat="1" applyFont="1" applyAlignment="1">
      <alignment horizontal="center"/>
    </xf>
    <xf numFmtId="0" fontId="49" fillId="0" borderId="17" xfId="0" applyFont="1" applyFill="1" applyBorder="1"/>
    <xf numFmtId="0" fontId="4" fillId="0" borderId="4" xfId="0" applyNumberFormat="1" applyFont="1" applyBorder="1" applyAlignment="1">
      <alignment horizontal="center"/>
    </xf>
    <xf numFmtId="0" fontId="3" fillId="8" borderId="0" xfId="0" applyNumberFormat="1" applyFont="1" applyFill="1" applyAlignment="1"/>
    <xf numFmtId="0" fontId="6" fillId="8" borderId="0" xfId="0" applyNumberFormat="1" applyFont="1" applyFill="1" applyAlignment="1"/>
    <xf numFmtId="0" fontId="6" fillId="8" borderId="0" xfId="0" applyNumberFormat="1" applyFont="1" applyFill="1" applyAlignment="1">
      <alignment horizontal="center"/>
    </xf>
    <xf numFmtId="0" fontId="37" fillId="8" borderId="0" xfId="0" applyNumberFormat="1" applyFont="1" applyFill="1" applyAlignment="1"/>
    <xf numFmtId="0" fontId="22" fillId="8" borderId="0" xfId="0" applyNumberFormat="1" applyFont="1" applyFill="1" applyAlignment="1">
      <alignment horizontal="center"/>
    </xf>
    <xf numFmtId="169" fontId="6" fillId="8" borderId="0" xfId="0" applyNumberFormat="1" applyFont="1" applyFill="1" applyAlignment="1">
      <alignment horizontal="center"/>
    </xf>
    <xf numFmtId="0" fontId="7" fillId="8" borderId="0" xfId="0" applyNumberFormat="1" applyFont="1" applyFill="1" applyAlignment="1"/>
    <xf numFmtId="10" fontId="12" fillId="8" borderId="0" xfId="2" applyNumberFormat="1" applyFont="1" applyFill="1"/>
    <xf numFmtId="10" fontId="6" fillId="8" borderId="0" xfId="2" applyNumberFormat="1" applyFont="1" applyFill="1"/>
    <xf numFmtId="169" fontId="36" fillId="8" borderId="0" xfId="0" applyNumberFormat="1" applyFont="1" applyFill="1" applyAlignment="1">
      <alignment horizontal="center"/>
    </xf>
    <xf numFmtId="169" fontId="6" fillId="8" borderId="0" xfId="0" applyNumberFormat="1" applyFont="1" applyFill="1" applyAlignment="1"/>
    <xf numFmtId="169" fontId="6" fillId="8" borderId="0" xfId="0" applyNumberFormat="1" applyFont="1" applyFill="1" applyBorder="1" applyAlignment="1"/>
    <xf numFmtId="169" fontId="6" fillId="8" borderId="0" xfId="2" applyNumberFormat="1" applyFont="1" applyFill="1"/>
    <xf numFmtId="169" fontId="6" fillId="8" borderId="0" xfId="2" applyNumberFormat="1" applyFont="1" applyFill="1" applyBorder="1"/>
    <xf numFmtId="0" fontId="6" fillId="8" borderId="9" xfId="0" applyNumberFormat="1" applyFont="1" applyFill="1" applyBorder="1" applyAlignment="1"/>
    <xf numFmtId="169" fontId="6" fillId="8" borderId="9" xfId="0" applyNumberFormat="1" applyFont="1" applyFill="1" applyBorder="1" applyAlignment="1"/>
    <xf numFmtId="0" fontId="6" fillId="8" borderId="0" xfId="0" applyNumberFormat="1" applyFont="1" applyFill="1" applyBorder="1" applyAlignment="1"/>
    <xf numFmtId="169" fontId="4" fillId="8" borderId="0" xfId="0" applyNumberFormat="1" applyFont="1" applyFill="1" applyBorder="1" applyAlignment="1">
      <alignment horizontal="center" vertical="center"/>
    </xf>
    <xf numFmtId="1" fontId="6" fillId="8" borderId="0" xfId="2" applyNumberFormat="1" applyFont="1" applyFill="1" applyBorder="1"/>
    <xf numFmtId="169" fontId="6" fillId="8" borderId="0" xfId="0" applyNumberFormat="1" applyFont="1" applyFill="1" applyBorder="1" applyAlignment="1">
      <alignment horizontal="right"/>
    </xf>
    <xf numFmtId="0" fontId="6" fillId="8" borderId="0" xfId="0" applyNumberFormat="1" applyFont="1" applyFill="1" applyAlignment="1">
      <alignment horizontal="left" indent="1"/>
    </xf>
    <xf numFmtId="6" fontId="6" fillId="8" borderId="0" xfId="0" applyNumberFormat="1" applyFont="1" applyFill="1" applyBorder="1" applyAlignment="1">
      <alignment horizontal="right"/>
    </xf>
    <xf numFmtId="0" fontId="4" fillId="8" borderId="22" xfId="0" applyNumberFormat="1" applyFont="1" applyFill="1" applyBorder="1" applyAlignment="1">
      <alignment horizontal="right"/>
    </xf>
    <xf numFmtId="0" fontId="6" fillId="8" borderId="22" xfId="0" applyNumberFormat="1" applyFont="1" applyFill="1" applyBorder="1" applyAlignment="1"/>
    <xf numFmtId="0" fontId="3" fillId="8" borderId="22" xfId="0" applyNumberFormat="1" applyFont="1" applyFill="1" applyBorder="1" applyAlignment="1">
      <alignment horizontal="center"/>
    </xf>
    <xf numFmtId="10" fontId="6" fillId="8" borderId="22" xfId="2" applyNumberFormat="1" applyFont="1" applyFill="1" applyBorder="1" applyAlignment="1">
      <alignment horizontal="right"/>
    </xf>
    <xf numFmtId="0" fontId="3" fillId="8" borderId="0" xfId="0" applyNumberFormat="1" applyFont="1" applyFill="1" applyBorder="1" applyAlignment="1">
      <alignment horizontal="center"/>
    </xf>
    <xf numFmtId="10" fontId="6" fillId="8" borderId="0" xfId="2" applyNumberFormat="1" applyFont="1" applyFill="1" applyBorder="1" applyAlignment="1">
      <alignment horizontal="right"/>
    </xf>
    <xf numFmtId="175" fontId="3" fillId="8" borderId="0" xfId="0" applyNumberFormat="1" applyFont="1" applyFill="1" applyAlignment="1">
      <alignment horizontal="left"/>
    </xf>
    <xf numFmtId="175" fontId="6" fillId="8" borderId="0" xfId="0" applyNumberFormat="1" applyFont="1" applyFill="1" applyAlignment="1">
      <alignment horizontal="left"/>
    </xf>
    <xf numFmtId="41" fontId="6" fillId="8" borderId="0" xfId="0" applyNumberFormat="1" applyFont="1" applyFill="1" applyBorder="1" applyAlignment="1">
      <alignment horizontal="right" wrapText="1"/>
    </xf>
    <xf numFmtId="174" fontId="32" fillId="8" borderId="0" xfId="1" applyNumberFormat="1" applyFont="1" applyFill="1" applyBorder="1" applyAlignment="1">
      <alignment horizontal="right"/>
    </xf>
    <xf numFmtId="9" fontId="6" fillId="8" borderId="0" xfId="0" applyNumberFormat="1" applyFont="1" applyFill="1" applyBorder="1" applyAlignment="1">
      <alignment horizontal="right" wrapText="1"/>
    </xf>
    <xf numFmtId="41" fontId="6" fillId="8" borderId="4" xfId="0" applyNumberFormat="1" applyFont="1" applyFill="1" applyBorder="1" applyAlignment="1">
      <alignment horizontal="right" wrapText="1"/>
    </xf>
    <xf numFmtId="175" fontId="6" fillId="8" borderId="0" xfId="0" applyNumberFormat="1" applyFont="1" applyFill="1" applyAlignment="1">
      <alignment horizontal="left" indent="2"/>
    </xf>
    <xf numFmtId="175" fontId="6" fillId="8" borderId="0" xfId="0" applyNumberFormat="1" applyFont="1" applyFill="1" applyAlignment="1">
      <alignment horizontal="right"/>
    </xf>
    <xf numFmtId="175" fontId="6" fillId="8" borderId="0" xfId="0" applyNumberFormat="1" applyFont="1" applyFill="1" applyAlignment="1">
      <alignment horizontal="left" indent="1"/>
    </xf>
    <xf numFmtId="41" fontId="12" fillId="8" borderId="0" xfId="0" applyNumberFormat="1" applyFont="1" applyFill="1" applyBorder="1" applyAlignment="1">
      <alignment horizontal="right" wrapText="1"/>
    </xf>
    <xf numFmtId="6" fontId="6" fillId="8" borderId="0" xfId="0" applyNumberFormat="1" applyFont="1" applyFill="1" applyAlignment="1">
      <alignment horizontal="right" wrapText="1"/>
    </xf>
    <xf numFmtId="175" fontId="6" fillId="8" borderId="0" xfId="0" applyNumberFormat="1" applyFont="1" applyFill="1" applyBorder="1" applyAlignment="1">
      <alignment horizontal="left" indent="1"/>
    </xf>
    <xf numFmtId="41" fontId="6" fillId="8" borderId="0" xfId="0" applyNumberFormat="1" applyFont="1" applyFill="1" applyAlignment="1">
      <alignment horizontal="right" wrapText="1"/>
    </xf>
    <xf numFmtId="175" fontId="6" fillId="8" borderId="0" xfId="0" applyNumberFormat="1" applyFont="1" applyFill="1" applyAlignment="1">
      <alignment horizontal="right" wrapText="1"/>
    </xf>
    <xf numFmtId="41" fontId="12" fillId="8" borderId="0" xfId="0" applyNumberFormat="1" applyFont="1" applyFill="1" applyAlignment="1">
      <alignment horizontal="right" wrapText="1"/>
    </xf>
    <xf numFmtId="41" fontId="12" fillId="8" borderId="9" xfId="0" applyNumberFormat="1" applyFont="1" applyFill="1" applyBorder="1" applyAlignment="1">
      <alignment horizontal="right" wrapText="1"/>
    </xf>
    <xf numFmtId="6" fontId="6" fillId="8" borderId="9" xfId="0" applyNumberFormat="1" applyFont="1" applyFill="1" applyBorder="1" applyAlignment="1">
      <alignment horizontal="right" wrapText="1"/>
    </xf>
    <xf numFmtId="0" fontId="0" fillId="8" borderId="0" xfId="0" applyNumberFormat="1" applyFill="1" applyAlignment="1"/>
    <xf numFmtId="175" fontId="6" fillId="8" borderId="22" xfId="0" applyNumberFormat="1" applyFont="1" applyFill="1" applyBorder="1" applyAlignment="1">
      <alignment horizontal="left" indent="1"/>
    </xf>
    <xf numFmtId="0" fontId="0" fillId="8" borderId="22" xfId="0" applyNumberFormat="1" applyFill="1" applyBorder="1" applyAlignment="1"/>
    <xf numFmtId="6" fontId="6" fillId="8" borderId="22" xfId="0" applyNumberFormat="1" applyFont="1" applyFill="1" applyBorder="1" applyAlignment="1">
      <alignment horizontal="right" wrapText="1"/>
    </xf>
    <xf numFmtId="169" fontId="58" fillId="8" borderId="0" xfId="0" applyNumberFormat="1" applyFont="1" applyFill="1" applyBorder="1" applyAlignment="1"/>
    <xf numFmtId="9" fontId="59" fillId="0" borderId="0" xfId="0" applyNumberFormat="1" applyFont="1" applyFill="1" applyBorder="1" applyAlignment="1">
      <alignment horizontal="center"/>
    </xf>
    <xf numFmtId="0" fontId="49" fillId="0" borderId="0" xfId="0" applyFont="1" applyBorder="1" applyAlignment="1">
      <alignment horizontal="center"/>
    </xf>
    <xf numFmtId="0" fontId="45" fillId="8" borderId="0" xfId="0" applyFont="1" applyFill="1" applyBorder="1" applyAlignment="1">
      <alignment vertical="top" wrapText="1"/>
    </xf>
    <xf numFmtId="0" fontId="30" fillId="5" borderId="8" xfId="0" applyFont="1" applyFill="1" applyBorder="1" applyAlignment="1">
      <alignment vertical="center"/>
    </xf>
    <xf numFmtId="0" fontId="30" fillId="5" borderId="0" xfId="0" applyFont="1" applyFill="1" applyBorder="1" applyAlignment="1">
      <alignment vertical="center"/>
    </xf>
    <xf numFmtId="0" fontId="45" fillId="5" borderId="25" xfId="0" applyFont="1" applyFill="1" applyBorder="1" applyAlignment="1">
      <alignment vertical="center"/>
    </xf>
    <xf numFmtId="0" fontId="45" fillId="8" borderId="0" xfId="0" applyFont="1" applyFill="1" applyBorder="1" applyAlignment="1">
      <alignment horizontal="left" vertical="center"/>
    </xf>
    <xf numFmtId="0" fontId="45" fillId="8" borderId="0" xfId="0" applyFont="1" applyFill="1" applyBorder="1" applyAlignment="1">
      <alignment horizontal="left" vertical="center" wrapText="1"/>
    </xf>
    <xf numFmtId="165" fontId="0" fillId="0" borderId="0" xfId="1" applyNumberFormat="1" applyFont="1"/>
    <xf numFmtId="9" fontId="24" fillId="6" borderId="5" xfId="0" applyNumberFormat="1" applyFont="1" applyFill="1" applyBorder="1" applyAlignment="1">
      <alignment horizontal="center"/>
    </xf>
    <xf numFmtId="0" fontId="42" fillId="2" borderId="6" xfId="0" applyNumberFormat="1" applyFont="1" applyFill="1" applyBorder="1" applyAlignment="1">
      <alignment vertical="center"/>
    </xf>
    <xf numFmtId="169" fontId="24" fillId="0" borderId="6" xfId="1" applyNumberFormat="1" applyFont="1" applyBorder="1" applyAlignment="1">
      <alignment horizontal="center" vertical="center"/>
    </xf>
    <xf numFmtId="2" fontId="6" fillId="0" borderId="0" xfId="0" applyNumberFormat="1" applyFont="1" applyFill="1" applyAlignment="1">
      <alignment horizontal="right"/>
    </xf>
    <xf numFmtId="6" fontId="6" fillId="8" borderId="0" xfId="0" applyNumberFormat="1" applyFont="1" applyFill="1" applyAlignment="1">
      <alignment horizontal="right" vertical="center" wrapText="1"/>
    </xf>
    <xf numFmtId="0" fontId="56" fillId="0" borderId="0" xfId="0" applyFont="1" applyBorder="1" applyAlignment="1">
      <alignment horizontal="center" vertical="center" wrapText="1"/>
    </xf>
    <xf numFmtId="0" fontId="55" fillId="7" borderId="4" xfId="0" applyFont="1" applyFill="1" applyBorder="1" applyAlignment="1">
      <alignment horizontal="center"/>
    </xf>
    <xf numFmtId="164" fontId="51" fillId="0" borderId="17" xfId="2" applyNumberFormat="1" applyFont="1" applyFill="1" applyBorder="1" applyAlignment="1">
      <alignment horizontal="center"/>
    </xf>
    <xf numFmtId="10" fontId="49" fillId="0" borderId="21" xfId="0" applyNumberFormat="1" applyFont="1" applyBorder="1" applyAlignment="1">
      <alignment horizontal="center"/>
    </xf>
    <xf numFmtId="0" fontId="6" fillId="9" borderId="30" xfId="0" applyNumberFormat="1" applyFont="1" applyFill="1" applyBorder="1" applyAlignment="1">
      <alignment horizontal="center" vertical="center"/>
    </xf>
    <xf numFmtId="0" fontId="6" fillId="9" borderId="7" xfId="0" applyNumberFormat="1" applyFont="1" applyFill="1" applyBorder="1" applyAlignment="1">
      <alignment horizontal="center" vertical="center" wrapText="1"/>
    </xf>
    <xf numFmtId="0" fontId="61" fillId="0" borderId="0" xfId="0" applyFont="1" applyFill="1" applyBorder="1" applyAlignment="1">
      <alignment vertical="center"/>
    </xf>
    <xf numFmtId="0" fontId="0" fillId="0" borderId="22" xfId="0" applyBorder="1"/>
    <xf numFmtId="0" fontId="6" fillId="0" borderId="25" xfId="0" applyFont="1" applyFill="1" applyBorder="1"/>
    <xf numFmtId="0" fontId="62" fillId="0" borderId="0" xfId="0" applyFont="1" applyFill="1" applyBorder="1" applyAlignment="1">
      <alignment vertical="center"/>
    </xf>
    <xf numFmtId="176" fontId="4" fillId="0" borderId="4" xfId="0" applyNumberFormat="1" applyFont="1" applyFill="1" applyBorder="1" applyAlignment="1">
      <alignment horizontal="center"/>
    </xf>
    <xf numFmtId="2" fontId="44" fillId="0" borderId="22" xfId="0" applyNumberFormat="1" applyFont="1" applyFill="1" applyBorder="1" applyAlignment="1">
      <alignment horizontal="center"/>
    </xf>
    <xf numFmtId="6" fontId="63" fillId="0" borderId="0" xfId="0" applyNumberFormat="1" applyFont="1" applyAlignment="1"/>
    <xf numFmtId="6" fontId="63" fillId="0" borderId="9" xfId="0" applyNumberFormat="1" applyFont="1" applyBorder="1" applyAlignment="1"/>
    <xf numFmtId="0" fontId="51" fillId="0" borderId="0" xfId="0" applyFont="1" applyBorder="1"/>
    <xf numFmtId="164" fontId="51" fillId="0" borderId="0" xfId="2" applyNumberFormat="1" applyFont="1" applyFill="1" applyBorder="1" applyAlignment="1">
      <alignment horizontal="center"/>
    </xf>
    <xf numFmtId="0" fontId="49" fillId="0" borderId="4" xfId="0" applyFont="1" applyBorder="1"/>
    <xf numFmtId="0" fontId="55" fillId="0" borderId="9" xfId="0" applyFont="1" applyFill="1" applyBorder="1" applyAlignment="1">
      <alignment horizontal="center"/>
    </xf>
    <xf numFmtId="0" fontId="51" fillId="0" borderId="9" xfId="0" applyFont="1" applyFill="1" applyBorder="1" applyAlignment="1">
      <alignment horizontal="center"/>
    </xf>
    <xf numFmtId="0" fontId="55" fillId="5" borderId="14" xfId="0" applyFont="1" applyFill="1" applyBorder="1" applyAlignment="1">
      <alignment horizontal="center"/>
    </xf>
    <xf numFmtId="0" fontId="6" fillId="0" borderId="0" xfId="0" applyNumberFormat="1" applyFont="1" applyAlignment="1">
      <alignment wrapText="1"/>
    </xf>
    <xf numFmtId="9" fontId="6" fillId="0" borderId="9" xfId="0" applyNumberFormat="1" applyFont="1" applyBorder="1" applyAlignment="1"/>
    <xf numFmtId="9" fontId="64" fillId="0" borderId="0" xfId="0" applyNumberFormat="1" applyFont="1" applyAlignment="1"/>
    <xf numFmtId="6" fontId="6" fillId="8" borderId="0" xfId="0" applyNumberFormat="1" applyFont="1" applyFill="1" applyBorder="1" applyAlignment="1"/>
    <xf numFmtId="0" fontId="22" fillId="8" borderId="0" xfId="0" applyNumberFormat="1" applyFont="1" applyFill="1" applyAlignment="1"/>
    <xf numFmtId="0" fontId="8" fillId="0" borderId="23" xfId="0" applyFont="1" applyFill="1" applyBorder="1" applyAlignment="1">
      <alignment horizontal="center"/>
    </xf>
    <xf numFmtId="0" fontId="8" fillId="0" borderId="10" xfId="0" applyFont="1" applyFill="1" applyBorder="1" applyAlignment="1">
      <alignment horizontal="center"/>
    </xf>
    <xf numFmtId="0" fontId="6" fillId="0" borderId="10" xfId="0" applyFont="1" applyFill="1" applyBorder="1"/>
    <xf numFmtId="6" fontId="3" fillId="0" borderId="22" xfId="0" applyNumberFormat="1" applyFont="1" applyBorder="1" applyAlignment="1"/>
    <xf numFmtId="1" fontId="24" fillId="0" borderId="0" xfId="0" applyNumberFormat="1" applyFont="1" applyFill="1" applyBorder="1" applyAlignment="1">
      <alignment horizontal="right"/>
    </xf>
    <xf numFmtId="164" fontId="24" fillId="0" borderId="0" xfId="2" applyNumberFormat="1" applyFont="1" applyFill="1" applyBorder="1" applyAlignment="1">
      <alignment horizontal="right"/>
    </xf>
    <xf numFmtId="0" fontId="24" fillId="0" borderId="0" xfId="0" applyFont="1" applyFill="1" applyBorder="1" applyAlignment="1">
      <alignment horizontal="right"/>
    </xf>
    <xf numFmtId="171" fontId="24" fillId="0" borderId="0" xfId="1" applyNumberFormat="1" applyFont="1" applyFill="1" applyBorder="1" applyAlignment="1">
      <alignment horizontal="right"/>
    </xf>
    <xf numFmtId="6" fontId="24" fillId="0" borderId="0" xfId="0" applyNumberFormat="1" applyFont="1" applyFill="1" applyBorder="1" applyAlignment="1">
      <alignment horizontal="right"/>
    </xf>
    <xf numFmtId="169" fontId="6" fillId="0" borderId="0" xfId="0" applyNumberFormat="1" applyFont="1" applyFill="1" applyBorder="1" applyAlignment="1">
      <alignment horizontal="right"/>
    </xf>
    <xf numFmtId="169" fontId="6" fillId="0" borderId="0" xfId="1" applyNumberFormat="1" applyFont="1" applyFill="1" applyBorder="1" applyAlignment="1">
      <alignment horizontal="right"/>
    </xf>
    <xf numFmtId="6" fontId="6" fillId="0" borderId="0" xfId="0" applyNumberFormat="1" applyFont="1" applyFill="1" applyBorder="1" applyAlignment="1">
      <alignment horizontal="right"/>
    </xf>
    <xf numFmtId="164" fontId="24" fillId="0" borderId="0" xfId="0" applyNumberFormat="1" applyFont="1" applyFill="1" applyBorder="1" applyAlignment="1">
      <alignment horizontal="right"/>
    </xf>
    <xf numFmtId="2" fontId="24" fillId="0" borderId="0" xfId="2" applyNumberFormat="1" applyFont="1" applyFill="1" applyBorder="1" applyAlignment="1">
      <alignment horizontal="right"/>
    </xf>
    <xf numFmtId="2" fontId="6" fillId="0" borderId="0" xfId="2" applyNumberFormat="1" applyFont="1" applyFill="1" applyBorder="1" applyAlignment="1">
      <alignment horizontal="right"/>
    </xf>
    <xf numFmtId="2" fontId="24" fillId="0" borderId="0" xfId="0" applyNumberFormat="1" applyFont="1" applyFill="1" applyBorder="1" applyAlignment="1">
      <alignment horizontal="center"/>
    </xf>
    <xf numFmtId="9" fontId="24" fillId="0" borderId="0" xfId="2" applyFont="1" applyFill="1" applyBorder="1" applyAlignment="1">
      <alignment horizontal="center"/>
    </xf>
    <xf numFmtId="164" fontId="5" fillId="0" borderId="0" xfId="2" applyNumberFormat="1" applyFont="1" applyFill="1" applyBorder="1" applyAlignment="1">
      <alignment horizontal="center"/>
    </xf>
    <xf numFmtId="171" fontId="6" fillId="0" borderId="0" xfId="1" applyNumberFormat="1" applyFont="1" applyFill="1" applyBorder="1" applyAlignment="1">
      <alignment horizontal="right"/>
    </xf>
    <xf numFmtId="170" fontId="4" fillId="0" borderId="0" xfId="0" applyNumberFormat="1" applyFont="1" applyFill="1" applyBorder="1" applyAlignment="1">
      <alignment horizontal="center"/>
    </xf>
    <xf numFmtId="171" fontId="24" fillId="0" borderId="0" xfId="0" applyNumberFormat="1" applyFont="1" applyFill="1" applyBorder="1" applyAlignment="1">
      <alignment horizontal="right"/>
    </xf>
    <xf numFmtId="2" fontId="24" fillId="0" borderId="0" xfId="0" applyNumberFormat="1" applyFont="1" applyFill="1" applyBorder="1" applyAlignment="1">
      <alignment horizontal="right"/>
    </xf>
    <xf numFmtId="169" fontId="24" fillId="0" borderId="0" xfId="0" applyNumberFormat="1" applyFont="1" applyFill="1" applyBorder="1" applyAlignment="1">
      <alignment horizontal="right"/>
    </xf>
    <xf numFmtId="9" fontId="12" fillId="0" borderId="0" xfId="2" applyFont="1" applyFill="1" applyBorder="1" applyAlignment="1">
      <alignment horizontal="right"/>
    </xf>
    <xf numFmtId="9" fontId="24" fillId="0" borderId="0" xfId="2" applyNumberFormat="1" applyFont="1" applyFill="1" applyBorder="1" applyAlignment="1">
      <alignment horizontal="right"/>
    </xf>
    <xf numFmtId="10" fontId="24" fillId="0" borderId="0" xfId="2" applyNumberFormat="1" applyFont="1" applyFill="1" applyBorder="1" applyAlignment="1">
      <alignment horizontal="right"/>
    </xf>
    <xf numFmtId="9" fontId="6" fillId="0" borderId="0" xfId="2" applyNumberFormat="1" applyFont="1" applyFill="1" applyBorder="1" applyAlignment="1">
      <alignment horizontal="right"/>
    </xf>
    <xf numFmtId="9" fontId="5" fillId="0" borderId="0" xfId="2" applyFont="1" applyFill="1" applyBorder="1" applyAlignment="1">
      <alignment horizontal="right"/>
    </xf>
    <xf numFmtId="0" fontId="15" fillId="0" borderId="32" xfId="0" applyFont="1" applyFill="1" applyBorder="1" applyAlignment="1">
      <alignment horizontal="center"/>
    </xf>
    <xf numFmtId="10" fontId="4" fillId="0" borderId="0" xfId="2" applyNumberFormat="1" applyFont="1" applyFill="1" applyBorder="1" applyAlignment="1">
      <alignment horizontal="right"/>
    </xf>
    <xf numFmtId="0" fontId="6" fillId="0" borderId="26" xfId="0" applyFont="1" applyFill="1" applyBorder="1"/>
    <xf numFmtId="0" fontId="6" fillId="0" borderId="24" xfId="0" applyFont="1" applyFill="1" applyBorder="1"/>
    <xf numFmtId="0" fontId="3" fillId="0" borderId="8" xfId="0" applyFont="1" applyFill="1" applyBorder="1" applyAlignment="1">
      <alignment horizontal="center"/>
    </xf>
    <xf numFmtId="164" fontId="4" fillId="0" borderId="0" xfId="2" applyNumberFormat="1" applyFont="1" applyAlignment="1">
      <alignment horizontal="center"/>
    </xf>
    <xf numFmtId="174" fontId="3" fillId="0" borderId="0" xfId="5" applyNumberFormat="1" applyFont="1" applyFill="1" applyBorder="1" applyAlignment="1">
      <alignment horizontal="center"/>
    </xf>
    <xf numFmtId="2" fontId="0" fillId="0" borderId="0" xfId="0" applyNumberFormat="1"/>
    <xf numFmtId="9" fontId="4" fillId="0" borderId="0" xfId="2" applyFont="1" applyAlignment="1">
      <alignment horizontal="center"/>
    </xf>
    <xf numFmtId="9" fontId="4" fillId="0" borderId="0" xfId="0" applyNumberFormat="1" applyFont="1" applyAlignment="1">
      <alignment horizontal="center"/>
    </xf>
    <xf numFmtId="0" fontId="22" fillId="0" borderId="0" xfId="0" applyNumberFormat="1" applyFont="1" applyFill="1" applyBorder="1" applyAlignment="1"/>
    <xf numFmtId="2" fontId="36" fillId="0" borderId="0" xfId="0" applyNumberFormat="1" applyFont="1" applyBorder="1" applyAlignment="1"/>
    <xf numFmtId="0" fontId="6" fillId="0" borderId="27" xfId="0" applyFont="1" applyFill="1" applyBorder="1"/>
    <xf numFmtId="0" fontId="3" fillId="0" borderId="22" xfId="0" applyFont="1" applyFill="1" applyBorder="1" applyAlignment="1">
      <alignment horizontal="center"/>
    </xf>
    <xf numFmtId="0" fontId="6" fillId="0" borderId="9" xfId="0" applyNumberFormat="1" applyFont="1" applyBorder="1" applyAlignment="1">
      <alignment wrapText="1"/>
    </xf>
    <xf numFmtId="0" fontId="66" fillId="0" borderId="19" xfId="0" applyFont="1" applyBorder="1"/>
    <xf numFmtId="0" fontId="66" fillId="0" borderId="20" xfId="0" applyFont="1" applyBorder="1"/>
    <xf numFmtId="6" fontId="66" fillId="0" borderId="17" xfId="0" applyNumberFormat="1" applyFont="1" applyBorder="1" applyAlignment="1">
      <alignment horizontal="center" wrapText="1"/>
    </xf>
    <xf numFmtId="6" fontId="66" fillId="0" borderId="18" xfId="0" applyNumberFormat="1" applyFont="1" applyBorder="1" applyAlignment="1">
      <alignment horizontal="center" wrapText="1"/>
    </xf>
    <xf numFmtId="0" fontId="66" fillId="0" borderId="15" xfId="0" applyFont="1" applyBorder="1"/>
    <xf numFmtId="0" fontId="66" fillId="0" borderId="16" xfId="0" applyFont="1" applyBorder="1"/>
    <xf numFmtId="6" fontId="67" fillId="0" borderId="0" xfId="0" applyNumberFormat="1" applyFont="1" applyAlignment="1"/>
    <xf numFmtId="6" fontId="15" fillId="0" borderId="0" xfId="0" applyNumberFormat="1" applyFont="1" applyFill="1" applyAlignment="1"/>
    <xf numFmtId="0" fontId="60" fillId="5" borderId="1" xfId="0" applyFont="1" applyFill="1" applyBorder="1"/>
    <xf numFmtId="0" fontId="6" fillId="5" borderId="3" xfId="0" applyFont="1" applyFill="1" applyBorder="1"/>
    <xf numFmtId="170" fontId="4" fillId="3" borderId="0" xfId="0" applyNumberFormat="1" applyFont="1" applyFill="1" applyBorder="1" applyAlignment="1">
      <alignment horizontal="center"/>
    </xf>
    <xf numFmtId="0" fontId="6" fillId="3" borderId="0" xfId="0" applyFont="1" applyFill="1" applyBorder="1"/>
    <xf numFmtId="14" fontId="6" fillId="3" borderId="0" xfId="0" applyNumberFormat="1" applyFont="1" applyFill="1" applyBorder="1" applyAlignment="1">
      <alignment horizontal="center"/>
    </xf>
    <xf numFmtId="168" fontId="5" fillId="0" borderId="0" xfId="0" applyNumberFormat="1" applyFont="1" applyFill="1" applyBorder="1" applyAlignment="1">
      <alignment horizontal="center"/>
    </xf>
    <xf numFmtId="167" fontId="5" fillId="0" borderId="0" xfId="0" applyNumberFormat="1" applyFont="1" applyFill="1" applyBorder="1" applyAlignment="1">
      <alignment horizontal="center"/>
    </xf>
    <xf numFmtId="169" fontId="5" fillId="0" borderId="0" xfId="1" applyNumberFormat="1" applyFont="1" applyFill="1" applyBorder="1" applyAlignment="1">
      <alignment horizontal="center"/>
    </xf>
    <xf numFmtId="169" fontId="6" fillId="0" borderId="0" xfId="1" applyNumberFormat="1" applyFont="1" applyFill="1" applyBorder="1" applyAlignment="1">
      <alignment horizontal="center"/>
    </xf>
    <xf numFmtId="171" fontId="5" fillId="0" borderId="0" xfId="1" applyNumberFormat="1" applyFont="1" applyFill="1" applyBorder="1" applyAlignment="1">
      <alignment horizontal="center"/>
    </xf>
    <xf numFmtId="164" fontId="5" fillId="3" borderId="0" xfId="2" applyNumberFormat="1" applyFont="1" applyFill="1" applyBorder="1" applyAlignment="1">
      <alignment horizontal="center"/>
    </xf>
    <xf numFmtId="0" fontId="3" fillId="3" borderId="0" xfId="0" applyFont="1" applyFill="1" applyBorder="1" applyAlignment="1">
      <alignment horizontal="center"/>
    </xf>
    <xf numFmtId="9" fontId="5" fillId="0" borderId="0" xfId="2" applyFont="1" applyFill="1" applyBorder="1" applyAlignment="1">
      <alignment horizontal="center"/>
    </xf>
    <xf numFmtId="0" fontId="8" fillId="5" borderId="10" xfId="0" applyFont="1" applyFill="1" applyBorder="1" applyAlignment="1">
      <alignment vertical="center"/>
    </xf>
    <xf numFmtId="0" fontId="62" fillId="5" borderId="10" xfId="0" applyFont="1" applyFill="1" applyBorder="1" applyAlignment="1">
      <alignment vertical="center"/>
    </xf>
    <xf numFmtId="0" fontId="62" fillId="5" borderId="24" xfId="0" applyFont="1" applyFill="1" applyBorder="1" applyAlignment="1">
      <alignment vertical="center"/>
    </xf>
    <xf numFmtId="1" fontId="0" fillId="0" borderId="0" xfId="0" applyNumberFormat="1" applyAlignment="1"/>
    <xf numFmtId="10" fontId="6" fillId="8" borderId="0" xfId="2" applyNumberFormat="1" applyFont="1" applyFill="1" applyAlignment="1">
      <alignment horizontal="right" wrapText="1"/>
    </xf>
    <xf numFmtId="6" fontId="22" fillId="8" borderId="0" xfId="0" applyNumberFormat="1" applyFont="1" applyFill="1" applyAlignment="1">
      <alignment horizontal="center" wrapText="1"/>
    </xf>
    <xf numFmtId="177" fontId="6" fillId="8" borderId="0" xfId="0" applyNumberFormat="1" applyFont="1" applyFill="1" applyAlignment="1">
      <alignment horizontal="center" wrapText="1"/>
    </xf>
    <xf numFmtId="1" fontId="24" fillId="8" borderId="0" xfId="0" applyNumberFormat="1" applyFont="1" applyFill="1" applyAlignment="1">
      <alignment horizontal="right" wrapText="1"/>
    </xf>
    <xf numFmtId="177" fontId="6" fillId="8" borderId="0" xfId="0" applyNumberFormat="1" applyFont="1" applyFill="1" applyAlignment="1">
      <alignment horizontal="right" wrapText="1"/>
    </xf>
    <xf numFmtId="0" fontId="0" fillId="0" borderId="0" xfId="0" applyNumberFormat="1" applyFill="1" applyAlignment="1"/>
    <xf numFmtId="1" fontId="0" fillId="0" borderId="0" xfId="0" applyNumberFormat="1" applyFill="1" applyAlignment="1"/>
    <xf numFmtId="1" fontId="0" fillId="8" borderId="22" xfId="0" applyNumberFormat="1" applyFill="1" applyBorder="1" applyAlignment="1"/>
    <xf numFmtId="175" fontId="3" fillId="8" borderId="0" xfId="0" applyNumberFormat="1" applyFont="1" applyFill="1" applyAlignment="1">
      <alignment horizontal="left" indent="1"/>
    </xf>
    <xf numFmtId="176" fontId="4" fillId="0" borderId="0" xfId="0" applyNumberFormat="1" applyFont="1" applyFill="1" applyAlignment="1">
      <alignment horizontal="center"/>
    </xf>
    <xf numFmtId="1" fontId="43" fillId="0" borderId="0" xfId="0" applyNumberFormat="1" applyFont="1" applyFill="1" applyBorder="1" applyAlignment="1">
      <alignment horizontal="center"/>
    </xf>
    <xf numFmtId="0" fontId="69" fillId="5" borderId="4" xfId="0" applyNumberFormat="1" applyFont="1" applyFill="1" applyBorder="1" applyAlignment="1">
      <alignment horizontal="center"/>
    </xf>
    <xf numFmtId="0" fontId="69" fillId="5" borderId="6" xfId="0" applyNumberFormat="1" applyFont="1" applyFill="1" applyBorder="1" applyAlignment="1">
      <alignment horizontal="center"/>
    </xf>
    <xf numFmtId="2" fontId="16" fillId="5" borderId="5" xfId="0" applyNumberFormat="1" applyFont="1" applyFill="1" applyBorder="1" applyAlignment="1">
      <alignment horizontal="center"/>
    </xf>
    <xf numFmtId="0" fontId="70" fillId="0" borderId="0" xfId="0" applyFont="1" applyFill="1" applyBorder="1"/>
    <xf numFmtId="0" fontId="21" fillId="5" borderId="2" xfId="0" applyNumberFormat="1" applyFont="1" applyFill="1" applyBorder="1" applyAlignment="1">
      <alignment horizontal="center"/>
    </xf>
    <xf numFmtId="0" fontId="22" fillId="0" borderId="0" xfId="0" applyFont="1" applyFill="1" applyBorder="1" applyAlignment="1">
      <alignment horizontal="center"/>
    </xf>
    <xf numFmtId="0" fontId="21" fillId="5" borderId="1" xfId="0" applyFont="1" applyFill="1" applyBorder="1"/>
    <xf numFmtId="0" fontId="6" fillId="4" borderId="0" xfId="0" applyFont="1" applyFill="1" applyBorder="1"/>
    <xf numFmtId="0" fontId="3" fillId="4" borderId="0" xfId="0" applyFont="1" applyFill="1" applyBorder="1" applyAlignment="1">
      <alignment horizontal="center"/>
    </xf>
    <xf numFmtId="0" fontId="6" fillId="4" borderId="23" xfId="0" applyFont="1" applyFill="1" applyBorder="1"/>
    <xf numFmtId="0" fontId="6" fillId="4" borderId="10" xfId="0" applyFont="1" applyFill="1" applyBorder="1"/>
    <xf numFmtId="0" fontId="3" fillId="4" borderId="10" xfId="0" applyFont="1" applyFill="1" applyBorder="1" applyAlignment="1">
      <alignment horizontal="center"/>
    </xf>
    <xf numFmtId="0" fontId="6" fillId="4" borderId="8" xfId="0" applyFont="1" applyFill="1" applyBorder="1"/>
    <xf numFmtId="0" fontId="71" fillId="4" borderId="0" xfId="0" applyFont="1" applyFill="1" applyBorder="1" applyAlignment="1"/>
    <xf numFmtId="0" fontId="6" fillId="4" borderId="25" xfId="0" applyFont="1" applyFill="1" applyBorder="1"/>
    <xf numFmtId="0" fontId="6" fillId="4" borderId="26" xfId="0" applyFont="1" applyFill="1" applyBorder="1"/>
    <xf numFmtId="0" fontId="6" fillId="4" borderId="22" xfId="0" applyFont="1" applyFill="1" applyBorder="1"/>
    <xf numFmtId="0" fontId="71" fillId="4" borderId="22" xfId="0" applyFont="1" applyFill="1" applyBorder="1" applyAlignment="1"/>
    <xf numFmtId="0" fontId="3" fillId="4" borderId="22" xfId="0" applyFont="1" applyFill="1" applyBorder="1" applyAlignment="1">
      <alignment horizontal="center"/>
    </xf>
    <xf numFmtId="0" fontId="6" fillId="4" borderId="27" xfId="0" applyFont="1" applyFill="1" applyBorder="1"/>
    <xf numFmtId="0" fontId="60" fillId="4" borderId="10" xfId="0" applyNumberFormat="1" applyFont="1" applyFill="1" applyBorder="1" applyAlignment="1"/>
    <xf numFmtId="0" fontId="51" fillId="0" borderId="12" xfId="0" applyFont="1" applyBorder="1" applyAlignment="1">
      <alignment vertical="center"/>
    </xf>
    <xf numFmtId="0" fontId="49" fillId="0" borderId="14" xfId="0" applyFont="1" applyBorder="1"/>
    <xf numFmtId="44" fontId="6" fillId="0" borderId="0" xfId="1" applyFont="1" applyFill="1" applyBorder="1"/>
    <xf numFmtId="0" fontId="16" fillId="5" borderId="4" xfId="0" applyFont="1" applyFill="1" applyBorder="1" applyAlignment="1">
      <alignment horizontal="center"/>
    </xf>
    <xf numFmtId="164" fontId="24" fillId="0" borderId="4" xfId="2" applyNumberFormat="1" applyFont="1" applyFill="1" applyBorder="1" applyAlignment="1">
      <alignment horizontal="center"/>
    </xf>
    <xf numFmtId="0" fontId="70" fillId="0" borderId="0" xfId="0" applyFont="1" applyFill="1" applyBorder="1" applyAlignment="1">
      <alignment horizontal="center"/>
    </xf>
    <xf numFmtId="0" fontId="4" fillId="0" borderId="5" xfId="0" applyNumberFormat="1" applyFont="1" applyFill="1" applyBorder="1" applyAlignment="1">
      <alignment horizontal="center"/>
    </xf>
    <xf numFmtId="164" fontId="16" fillId="5" borderId="6" xfId="2" applyNumberFormat="1" applyFont="1" applyFill="1" applyBorder="1" applyAlignment="1">
      <alignment horizontal="center"/>
    </xf>
    <xf numFmtId="0" fontId="6" fillId="12" borderId="0" xfId="0" applyFont="1" applyFill="1" applyBorder="1"/>
    <xf numFmtId="170" fontId="4" fillId="12" borderId="0" xfId="0" applyNumberFormat="1" applyFont="1" applyFill="1" applyBorder="1" applyAlignment="1">
      <alignment horizontal="center"/>
    </xf>
    <xf numFmtId="9" fontId="5" fillId="12" borderId="0" xfId="2" applyFont="1" applyFill="1" applyBorder="1" applyAlignment="1">
      <alignment horizontal="center"/>
    </xf>
    <xf numFmtId="169" fontId="5" fillId="12" borderId="0" xfId="2" applyNumberFormat="1" applyFont="1" applyFill="1" applyBorder="1" applyAlignment="1">
      <alignment horizontal="center"/>
    </xf>
    <xf numFmtId="0" fontId="15" fillId="12" borderId="0" xfId="0" applyFont="1" applyFill="1" applyBorder="1" applyAlignment="1">
      <alignment horizontal="center"/>
    </xf>
    <xf numFmtId="0" fontId="3" fillId="12" borderId="0" xfId="0" applyFont="1" applyFill="1" applyBorder="1" applyAlignment="1">
      <alignment horizontal="center"/>
    </xf>
    <xf numFmtId="0" fontId="5" fillId="12" borderId="0" xfId="0" applyNumberFormat="1" applyFont="1" applyFill="1" applyBorder="1" applyAlignment="1">
      <alignment horizontal="center"/>
    </xf>
    <xf numFmtId="2" fontId="0" fillId="8" borderId="0" xfId="0" applyNumberFormat="1" applyFill="1" applyAlignment="1"/>
    <xf numFmtId="6" fontId="3" fillId="0" borderId="0" xfId="0" applyNumberFormat="1" applyFont="1" applyFill="1" applyBorder="1" applyAlignment="1">
      <alignment horizontal="center"/>
    </xf>
    <xf numFmtId="0" fontId="3" fillId="0" borderId="33" xfId="0" applyNumberFormat="1" applyFont="1" applyBorder="1" applyAlignment="1">
      <alignment horizontal="center"/>
    </xf>
    <xf numFmtId="2" fontId="44" fillId="10" borderId="34" xfId="0" applyNumberFormat="1" applyFont="1" applyFill="1" applyBorder="1" applyAlignment="1">
      <alignment horizontal="center"/>
    </xf>
    <xf numFmtId="0" fontId="21" fillId="0" borderId="34" xfId="0" applyNumberFormat="1" applyFont="1" applyBorder="1" applyAlignment="1">
      <alignment horizontal="center"/>
    </xf>
    <xf numFmtId="0" fontId="55" fillId="0" borderId="13" xfId="0" applyFont="1" applyBorder="1" applyAlignment="1">
      <alignment horizontal="center"/>
    </xf>
    <xf numFmtId="164" fontId="72" fillId="0" borderId="14" xfId="2" applyNumberFormat="1" applyFont="1" applyFill="1" applyBorder="1" applyAlignment="1">
      <alignment horizontal="center"/>
    </xf>
    <xf numFmtId="0" fontId="77" fillId="0" borderId="12" xfId="0" applyFont="1" applyBorder="1"/>
    <xf numFmtId="2" fontId="3" fillId="0" borderId="0" xfId="0" applyNumberFormat="1" applyFont="1" applyFill="1" applyBorder="1" applyAlignment="1">
      <alignment horizontal="center"/>
    </xf>
    <xf numFmtId="1" fontId="81" fillId="0" borderId="0" xfId="0" applyNumberFormat="1" applyFont="1" applyFill="1" applyBorder="1" applyAlignment="1">
      <alignment horizontal="center"/>
    </xf>
    <xf numFmtId="6" fontId="27" fillId="0" borderId="0" xfId="0" applyNumberFormat="1" applyFont="1" applyFill="1" applyBorder="1" applyAlignment="1">
      <alignment horizontal="center"/>
    </xf>
    <xf numFmtId="6" fontId="80" fillId="0" borderId="0" xfId="0" applyNumberFormat="1" applyFont="1" applyFill="1" applyBorder="1" applyAlignment="1"/>
    <xf numFmtId="6" fontId="80" fillId="0" borderId="0" xfId="0" applyNumberFormat="1" applyFont="1" applyFill="1" applyBorder="1" applyAlignment="1">
      <alignment horizontal="center"/>
    </xf>
    <xf numFmtId="1" fontId="80" fillId="0" borderId="0" xfId="0" applyNumberFormat="1" applyFont="1" applyFill="1" applyBorder="1" applyAlignment="1">
      <alignment horizontal="center"/>
    </xf>
    <xf numFmtId="0" fontId="81" fillId="0" borderId="0" xfId="0" applyNumberFormat="1" applyFont="1" applyFill="1" applyBorder="1" applyAlignment="1"/>
    <xf numFmtId="0" fontId="6" fillId="0" borderId="18" xfId="0" applyFont="1" applyFill="1" applyBorder="1"/>
    <xf numFmtId="0" fontId="8" fillId="0" borderId="17" xfId="0" applyFont="1" applyFill="1" applyBorder="1" applyAlignment="1">
      <alignment horizontal="center"/>
    </xf>
    <xf numFmtId="0" fontId="51" fillId="5" borderId="1" xfId="0" applyFont="1" applyFill="1" applyBorder="1"/>
    <xf numFmtId="0" fontId="55" fillId="5" borderId="2" xfId="0" applyFont="1" applyFill="1" applyBorder="1" applyAlignment="1">
      <alignment horizontal="center"/>
    </xf>
    <xf numFmtId="0" fontId="72" fillId="7" borderId="7" xfId="0" applyFont="1" applyFill="1" applyBorder="1" applyAlignment="1">
      <alignment horizontal="center"/>
    </xf>
    <xf numFmtId="1" fontId="28" fillId="0" borderId="5" xfId="0" applyNumberFormat="1" applyFont="1" applyBorder="1" applyAlignment="1">
      <alignment horizontal="center"/>
    </xf>
    <xf numFmtId="2" fontId="24" fillId="0" borderId="5" xfId="0" applyNumberFormat="1" applyFont="1" applyBorder="1" applyAlignment="1">
      <alignment horizontal="center"/>
    </xf>
    <xf numFmtId="1" fontId="28" fillId="0" borderId="4" xfId="0" applyNumberFormat="1" applyFont="1" applyBorder="1" applyAlignment="1">
      <alignment horizontal="center"/>
    </xf>
    <xf numFmtId="2" fontId="24" fillId="0" borderId="4" xfId="0" applyNumberFormat="1" applyFont="1" applyBorder="1" applyAlignment="1">
      <alignment horizontal="center"/>
    </xf>
    <xf numFmtId="164" fontId="82" fillId="3" borderId="6" xfId="2" applyNumberFormat="1" applyFont="1" applyFill="1" applyBorder="1" applyAlignment="1">
      <alignment horizontal="center" vertical="center" wrapText="1"/>
    </xf>
    <xf numFmtId="0" fontId="4" fillId="0" borderId="0" xfId="0" applyFont="1" applyFill="1" applyBorder="1" applyAlignment="1">
      <alignment horizontal="center"/>
    </xf>
    <xf numFmtId="3" fontId="3" fillId="5" borderId="6" xfId="0" applyNumberFormat="1" applyFont="1" applyFill="1" applyBorder="1" applyAlignment="1">
      <alignment horizontal="left"/>
    </xf>
    <xf numFmtId="166" fontId="11" fillId="0" borderId="25" xfId="0" applyNumberFormat="1" applyFont="1" applyFill="1" applyBorder="1" applyAlignment="1">
      <alignment horizontal="center"/>
    </xf>
    <xf numFmtId="1" fontId="43" fillId="0" borderId="25" xfId="0" applyNumberFormat="1" applyFont="1" applyFill="1" applyBorder="1" applyAlignment="1">
      <alignment horizontal="center"/>
    </xf>
    <xf numFmtId="1" fontId="43" fillId="0" borderId="25" xfId="0" applyNumberFormat="1" applyFont="1" applyFill="1" applyBorder="1" applyAlignment="1">
      <alignment horizontal="left"/>
    </xf>
    <xf numFmtId="2" fontId="6" fillId="0" borderId="0" xfId="0" applyNumberFormat="1" applyFont="1" applyFill="1" applyBorder="1" applyAlignment="1">
      <alignment horizontal="center"/>
    </xf>
    <xf numFmtId="2" fontId="70" fillId="0" borderId="0" xfId="2" applyNumberFormat="1" applyFont="1" applyFill="1" applyBorder="1" applyAlignment="1">
      <alignment horizontal="right"/>
    </xf>
    <xf numFmtId="0" fontId="51" fillId="13" borderId="12" xfId="0" applyFont="1" applyFill="1" applyBorder="1" applyAlignment="1">
      <alignment wrapText="1"/>
    </xf>
    <xf numFmtId="0" fontId="55" fillId="13" borderId="14" xfId="0" applyFont="1" applyFill="1" applyBorder="1" applyAlignment="1">
      <alignment horizontal="center"/>
    </xf>
    <xf numFmtId="0" fontId="51" fillId="13" borderId="17" xfId="0" applyFont="1" applyFill="1" applyBorder="1" applyAlignment="1">
      <alignment wrapText="1"/>
    </xf>
    <xf numFmtId="0" fontId="55" fillId="13" borderId="0" xfId="0" applyFont="1" applyFill="1" applyBorder="1" applyAlignment="1">
      <alignment horizontal="center"/>
    </xf>
    <xf numFmtId="166" fontId="21" fillId="5" borderId="3" xfId="0" applyNumberFormat="1" applyFont="1" applyFill="1" applyBorder="1" applyAlignment="1">
      <alignment horizontal="center"/>
    </xf>
    <xf numFmtId="0" fontId="3" fillId="0" borderId="0" xfId="0" applyFont="1" applyFill="1" applyBorder="1" applyAlignment="1">
      <alignment horizontal="left"/>
    </xf>
    <xf numFmtId="0" fontId="62" fillId="5" borderId="1" xfId="0" applyFont="1" applyFill="1" applyBorder="1" applyAlignment="1">
      <alignment vertical="center"/>
    </xf>
    <xf numFmtId="3" fontId="3" fillId="5" borderId="6" xfId="0" applyNumberFormat="1" applyFont="1" applyFill="1" applyBorder="1" applyAlignment="1">
      <alignment horizontal="center"/>
    </xf>
    <xf numFmtId="0" fontId="6" fillId="0" borderId="23" xfId="0" applyFont="1" applyFill="1" applyBorder="1"/>
    <xf numFmtId="0" fontId="24" fillId="0" borderId="10" xfId="0" applyFont="1" applyFill="1" applyBorder="1" applyAlignment="1">
      <alignment horizontal="center" vertical="center"/>
    </xf>
    <xf numFmtId="0" fontId="6" fillId="0" borderId="10" xfId="0" applyFont="1" applyFill="1" applyBorder="1" applyAlignment="1">
      <alignment horizontal="center"/>
    </xf>
    <xf numFmtId="0" fontId="24" fillId="0" borderId="24" xfId="0" applyFont="1" applyFill="1" applyBorder="1" applyAlignment="1">
      <alignment horizontal="center" vertical="center"/>
    </xf>
    <xf numFmtId="0" fontId="15" fillId="0" borderId="5" xfId="0" applyFont="1" applyFill="1" applyBorder="1" applyAlignment="1">
      <alignment horizontal="center"/>
    </xf>
    <xf numFmtId="0" fontId="27" fillId="0" borderId="0" xfId="0" applyFont="1" applyFill="1" applyBorder="1" applyAlignment="1"/>
    <xf numFmtId="0" fontId="15" fillId="0" borderId="39" xfId="0" applyFont="1" applyFill="1" applyBorder="1" applyAlignment="1">
      <alignment horizontal="center"/>
    </xf>
    <xf numFmtId="10" fontId="3" fillId="11" borderId="3" xfId="2" applyNumberFormat="1" applyFont="1" applyFill="1" applyBorder="1" applyAlignment="1">
      <alignment horizontal="center" vertical="center"/>
    </xf>
    <xf numFmtId="6" fontId="6" fillId="11" borderId="3" xfId="0" applyNumberFormat="1" applyFont="1" applyFill="1" applyBorder="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69" fontId="3" fillId="8" borderId="0" xfId="0" applyNumberFormat="1" applyFont="1" applyFill="1" applyAlignment="1">
      <alignment horizontal="center"/>
    </xf>
    <xf numFmtId="9" fontId="6" fillId="8" borderId="0" xfId="2" applyFont="1" applyFill="1" applyAlignment="1">
      <alignment horizontal="center"/>
    </xf>
    <xf numFmtId="169" fontId="4" fillId="8" borderId="0" xfId="0" applyNumberFormat="1" applyFont="1" applyFill="1" applyAlignment="1">
      <alignment horizontal="center"/>
    </xf>
    <xf numFmtId="169" fontId="6" fillId="8" borderId="9" xfId="0" applyNumberFormat="1" applyFont="1" applyFill="1" applyBorder="1" applyAlignment="1">
      <alignment horizontal="center"/>
    </xf>
    <xf numFmtId="9" fontId="6" fillId="8" borderId="9" xfId="2" applyFont="1" applyFill="1" applyBorder="1" applyAlignment="1">
      <alignment horizontal="center"/>
    </xf>
    <xf numFmtId="0" fontId="29" fillId="8" borderId="8" xfId="0" applyFont="1" applyFill="1" applyBorder="1" applyAlignment="1">
      <alignment vertical="center" wrapText="1"/>
    </xf>
    <xf numFmtId="0" fontId="85" fillId="8" borderId="25" xfId="0" applyFont="1" applyFill="1" applyBorder="1" applyAlignment="1">
      <alignment horizontal="center" wrapText="1"/>
    </xf>
    <xf numFmtId="0" fontId="45" fillId="8" borderId="25" xfId="0" applyFont="1" applyFill="1" applyBorder="1" applyAlignment="1">
      <alignment horizontal="center" wrapText="1"/>
    </xf>
    <xf numFmtId="0" fontId="45" fillId="12" borderId="25" xfId="0" applyFont="1" applyFill="1" applyBorder="1"/>
    <xf numFmtId="0" fontId="45" fillId="3" borderId="25" xfId="0" applyFont="1" applyFill="1" applyBorder="1"/>
    <xf numFmtId="0" fontId="84" fillId="6" borderId="25" xfId="0" applyFont="1" applyFill="1" applyBorder="1" applyAlignment="1">
      <alignment horizontal="center" wrapText="1"/>
    </xf>
    <xf numFmtId="0" fontId="86" fillId="0" borderId="25" xfId="0" applyFont="1" applyFill="1" applyBorder="1" applyAlignment="1">
      <alignment horizontal="center" vertical="center" wrapText="1"/>
    </xf>
    <xf numFmtId="3" fontId="55" fillId="0" borderId="21" xfId="0" applyNumberFormat="1" applyFont="1" applyBorder="1" applyAlignment="1">
      <alignment horizontal="center"/>
    </xf>
    <xf numFmtId="3" fontId="49" fillId="0" borderId="21" xfId="0" applyNumberFormat="1" applyFont="1" applyBorder="1" applyAlignment="1">
      <alignment horizontal="center"/>
    </xf>
    <xf numFmtId="3" fontId="49" fillId="0" borderId="0" xfId="0" applyNumberFormat="1" applyFont="1" applyBorder="1" applyAlignment="1">
      <alignment horizontal="center"/>
    </xf>
    <xf numFmtId="166" fontId="21" fillId="5" borderId="2" xfId="0" applyNumberFormat="1" applyFont="1" applyFill="1" applyBorder="1" applyAlignment="1">
      <alignment horizontal="center"/>
    </xf>
    <xf numFmtId="164" fontId="72" fillId="0" borderId="11" xfId="2" applyNumberFormat="1" applyFont="1" applyFill="1" applyBorder="1" applyAlignment="1">
      <alignment horizontal="center"/>
    </xf>
    <xf numFmtId="164" fontId="52" fillId="0" borderId="6" xfId="2" applyNumberFormat="1" applyFont="1" applyFill="1" applyBorder="1" applyAlignment="1">
      <alignment horizontal="center" vertical="center" wrapText="1"/>
    </xf>
    <xf numFmtId="164" fontId="51" fillId="0" borderId="21" xfId="2" applyNumberFormat="1" applyFont="1" applyFill="1" applyBorder="1" applyAlignment="1">
      <alignment horizontal="center"/>
    </xf>
    <xf numFmtId="164" fontId="52" fillId="0" borderId="4" xfId="2" applyNumberFormat="1" applyFont="1" applyFill="1" applyBorder="1" applyAlignment="1">
      <alignment horizontal="center" vertical="center" wrapText="1"/>
    </xf>
    <xf numFmtId="0" fontId="6" fillId="0" borderId="30" xfId="0" applyFont="1" applyBorder="1"/>
    <xf numFmtId="0" fontId="4" fillId="2" borderId="29" xfId="0" applyNumberFormat="1" applyFont="1" applyFill="1" applyBorder="1" applyAlignment="1">
      <alignment horizontal="center"/>
    </xf>
    <xf numFmtId="2" fontId="24" fillId="6" borderId="31" xfId="0" applyNumberFormat="1" applyFont="1" applyFill="1" applyBorder="1" applyAlignment="1">
      <alignment horizontal="center"/>
    </xf>
    <xf numFmtId="0" fontId="68" fillId="5" borderId="40" xfId="0" applyFont="1" applyFill="1" applyBorder="1" applyAlignment="1">
      <alignment horizontal="left" indent="1"/>
    </xf>
    <xf numFmtId="0" fontId="69" fillId="5" borderId="41" xfId="0" applyFont="1" applyFill="1" applyBorder="1" applyAlignment="1">
      <alignment horizontal="center"/>
    </xf>
    <xf numFmtId="169" fontId="16" fillId="5" borderId="42" xfId="0" applyNumberFormat="1" applyFont="1" applyFill="1" applyBorder="1" applyAlignment="1">
      <alignment horizontal="right"/>
    </xf>
    <xf numFmtId="0" fontId="68" fillId="5" borderId="43" xfId="0" applyFont="1" applyFill="1" applyBorder="1" applyAlignment="1">
      <alignment horizontal="left" indent="1"/>
    </xf>
    <xf numFmtId="6" fontId="16" fillId="5" borderId="32" xfId="0" applyNumberFormat="1" applyFont="1" applyFill="1" applyBorder="1" applyAlignment="1">
      <alignment horizontal="right"/>
    </xf>
    <xf numFmtId="0" fontId="68" fillId="5" borderId="43" xfId="0" applyNumberFormat="1" applyFont="1" applyFill="1" applyBorder="1" applyAlignment="1">
      <alignment horizontal="left" indent="1"/>
    </xf>
    <xf numFmtId="169" fontId="68" fillId="5" borderId="44" xfId="0" applyNumberFormat="1" applyFont="1" applyFill="1" applyBorder="1" applyAlignment="1">
      <alignment horizontal="right"/>
    </xf>
    <xf numFmtId="0" fontId="73" fillId="5" borderId="45" xfId="3" applyFont="1" applyFill="1" applyBorder="1" applyAlignment="1" applyProtection="1"/>
    <xf numFmtId="0" fontId="69" fillId="5" borderId="35" xfId="0" applyNumberFormat="1" applyFont="1" applyFill="1" applyBorder="1" applyAlignment="1">
      <alignment horizontal="center"/>
    </xf>
    <xf numFmtId="169" fontId="6" fillId="5" borderId="39" xfId="1" applyNumberFormat="1" applyFont="1" applyFill="1" applyBorder="1" applyAlignment="1">
      <alignment horizontal="right"/>
    </xf>
    <xf numFmtId="0" fontId="6" fillId="0" borderId="40" xfId="0" applyFont="1" applyBorder="1"/>
    <xf numFmtId="0" fontId="4" fillId="2" borderId="41" xfId="0" applyNumberFormat="1" applyFont="1" applyFill="1" applyBorder="1" applyAlignment="1">
      <alignment horizontal="center"/>
    </xf>
    <xf numFmtId="169" fontId="6" fillId="0" borderId="42" xfId="1" applyNumberFormat="1" applyFont="1" applyFill="1" applyBorder="1" applyAlignment="1">
      <alignment horizontal="right"/>
    </xf>
    <xf numFmtId="0" fontId="6" fillId="2" borderId="43" xfId="0" applyNumberFormat="1" applyFont="1" applyFill="1" applyBorder="1" applyAlignment="1"/>
    <xf numFmtId="0" fontId="6" fillId="0" borderId="45" xfId="0" applyNumberFormat="1" applyFont="1" applyFill="1" applyBorder="1" applyAlignment="1"/>
    <xf numFmtId="0" fontId="4" fillId="0" borderId="35" xfId="0" applyNumberFormat="1" applyFont="1" applyFill="1" applyBorder="1" applyAlignment="1">
      <alignment horizontal="center"/>
    </xf>
    <xf numFmtId="169" fontId="6" fillId="0" borderId="39" xfId="1" applyNumberFormat="1" applyFont="1" applyBorder="1" applyAlignment="1">
      <alignment horizontal="right"/>
    </xf>
    <xf numFmtId="0" fontId="6" fillId="2" borderId="40" xfId="0" applyNumberFormat="1" applyFont="1" applyFill="1" applyBorder="1" applyAlignment="1"/>
    <xf numFmtId="0" fontId="4" fillId="0" borderId="41" xfId="0" applyFont="1" applyBorder="1" applyAlignment="1">
      <alignment horizontal="center"/>
    </xf>
    <xf numFmtId="171" fontId="24" fillId="2" borderId="42" xfId="0" applyNumberFormat="1" applyFont="1" applyFill="1" applyBorder="1" applyAlignment="1">
      <alignment horizontal="right"/>
    </xf>
    <xf numFmtId="0" fontId="6" fillId="2" borderId="46" xfId="0" applyNumberFormat="1" applyFont="1" applyFill="1" applyBorder="1" applyAlignment="1"/>
    <xf numFmtId="0" fontId="4" fillId="2" borderId="47" xfId="0" applyNumberFormat="1" applyFont="1" applyFill="1" applyBorder="1" applyAlignment="1">
      <alignment horizontal="center"/>
    </xf>
    <xf numFmtId="0" fontId="6" fillId="0" borderId="40" xfId="0" applyFont="1" applyFill="1" applyBorder="1" applyAlignment="1">
      <alignment horizontal="left"/>
    </xf>
    <xf numFmtId="0" fontId="6" fillId="0" borderId="43" xfId="0" applyFont="1" applyFill="1" applyBorder="1"/>
    <xf numFmtId="0" fontId="24" fillId="0" borderId="32" xfId="0" applyFont="1" applyFill="1" applyBorder="1" applyAlignment="1">
      <alignment horizontal="right"/>
    </xf>
    <xf numFmtId="0" fontId="6" fillId="0" borderId="45" xfId="0" applyFont="1" applyFill="1" applyBorder="1" applyAlignment="1">
      <alignment horizontal="left"/>
    </xf>
    <xf numFmtId="0" fontId="4" fillId="2" borderId="35" xfId="0" applyNumberFormat="1" applyFont="1" applyFill="1" applyBorder="1" applyAlignment="1">
      <alignment horizontal="center"/>
    </xf>
    <xf numFmtId="164" fontId="24" fillId="0" borderId="39" xfId="0" applyNumberFormat="1" applyFont="1" applyFill="1" applyBorder="1" applyAlignment="1">
      <alignment horizontal="right"/>
    </xf>
    <xf numFmtId="0" fontId="6" fillId="0" borderId="40" xfId="0" applyFont="1" applyFill="1" applyBorder="1"/>
    <xf numFmtId="169" fontId="6" fillId="0" borderId="32" xfId="0" applyNumberFormat="1" applyFont="1" applyFill="1" applyBorder="1" applyAlignment="1">
      <alignment horizontal="right"/>
    </xf>
    <xf numFmtId="0" fontId="6" fillId="2" borderId="49" xfId="0" applyNumberFormat="1" applyFont="1" applyFill="1" applyBorder="1" applyAlignment="1"/>
    <xf numFmtId="169" fontId="24" fillId="2" borderId="44" xfId="0" applyNumberFormat="1" applyFont="1" applyFill="1" applyBorder="1" applyAlignment="1">
      <alignment horizontal="right"/>
    </xf>
    <xf numFmtId="164" fontId="24" fillId="2" borderId="44" xfId="2" applyNumberFormat="1" applyFont="1" applyFill="1" applyBorder="1" applyAlignment="1">
      <alignment horizontal="right"/>
    </xf>
    <xf numFmtId="0" fontId="6" fillId="0" borderId="45" xfId="0" applyFont="1" applyFill="1" applyBorder="1"/>
    <xf numFmtId="169" fontId="6" fillId="0" borderId="39" xfId="0" applyNumberFormat="1" applyFont="1" applyFill="1" applyBorder="1" applyAlignment="1">
      <alignment horizontal="right"/>
    </xf>
    <xf numFmtId="164" fontId="24" fillId="0" borderId="32" xfId="2" applyNumberFormat="1" applyFont="1" applyFill="1" applyBorder="1" applyAlignment="1">
      <alignment horizontal="right"/>
    </xf>
    <xf numFmtId="0" fontId="24" fillId="0" borderId="39" xfId="0" applyFont="1" applyFill="1" applyBorder="1" applyAlignment="1">
      <alignment horizontal="right"/>
    </xf>
    <xf numFmtId="0" fontId="24" fillId="0" borderId="42" xfId="0" applyFont="1" applyFill="1" applyBorder="1" applyAlignment="1">
      <alignment horizontal="right"/>
    </xf>
    <xf numFmtId="0" fontId="6" fillId="0" borderId="43" xfId="0" applyFont="1" applyFill="1" applyBorder="1" applyAlignment="1">
      <alignment horizontal="left"/>
    </xf>
    <xf numFmtId="164" fontId="24" fillId="2" borderId="32" xfId="2" applyNumberFormat="1" applyFont="1" applyFill="1" applyBorder="1" applyAlignment="1">
      <alignment horizontal="right"/>
    </xf>
    <xf numFmtId="9" fontId="24" fillId="2" borderId="42" xfId="2" applyNumberFormat="1" applyFont="1" applyFill="1" applyBorder="1" applyAlignment="1">
      <alignment horizontal="right"/>
    </xf>
    <xf numFmtId="10" fontId="24" fillId="2" borderId="48" xfId="2" applyNumberFormat="1" applyFont="1" applyFill="1" applyBorder="1" applyAlignment="1">
      <alignment horizontal="right"/>
    </xf>
    <xf numFmtId="0" fontId="6" fillId="0" borderId="43" xfId="0" applyNumberFormat="1" applyFont="1" applyFill="1" applyBorder="1" applyAlignment="1"/>
    <xf numFmtId="2" fontId="6" fillId="0" borderId="32" xfId="2" applyNumberFormat="1" applyFont="1" applyFill="1" applyBorder="1" applyAlignment="1">
      <alignment horizontal="right"/>
    </xf>
    <xf numFmtId="2" fontId="3" fillId="12" borderId="32" xfId="2" applyNumberFormat="1" applyFont="1" applyFill="1" applyBorder="1" applyAlignment="1">
      <alignment horizontal="right"/>
    </xf>
    <xf numFmtId="2" fontId="24" fillId="0" borderId="32" xfId="2" applyNumberFormat="1" applyFont="1" applyFill="1" applyBorder="1" applyAlignment="1">
      <alignment horizontal="right"/>
    </xf>
    <xf numFmtId="2" fontId="3" fillId="12" borderId="39" xfId="2" applyNumberFormat="1" applyFont="1" applyFill="1" applyBorder="1" applyAlignment="1">
      <alignment horizontal="right"/>
    </xf>
    <xf numFmtId="0" fontId="3" fillId="5" borderId="23" xfId="0" applyNumberFormat="1" applyFont="1" applyFill="1" applyBorder="1" applyAlignment="1"/>
    <xf numFmtId="0" fontId="21" fillId="5" borderId="10" xfId="0" applyNumberFormat="1" applyFont="1" applyFill="1" applyBorder="1" applyAlignment="1">
      <alignment horizontal="center"/>
    </xf>
    <xf numFmtId="166" fontId="21" fillId="5" borderId="24" xfId="0" applyNumberFormat="1" applyFont="1" applyFill="1" applyBorder="1" applyAlignment="1">
      <alignment horizontal="center"/>
    </xf>
    <xf numFmtId="0" fontId="6" fillId="0" borderId="49" xfId="0" applyNumberFormat="1" applyFont="1" applyFill="1" applyBorder="1" applyAlignment="1"/>
    <xf numFmtId="2" fontId="24" fillId="0" borderId="44" xfId="2" applyNumberFormat="1" applyFont="1" applyFill="1" applyBorder="1" applyAlignment="1">
      <alignment horizontal="right"/>
    </xf>
    <xf numFmtId="10" fontId="24" fillId="2" borderId="32" xfId="2" applyNumberFormat="1" applyFont="1" applyFill="1" applyBorder="1" applyAlignment="1">
      <alignment horizontal="right"/>
    </xf>
    <xf numFmtId="0" fontId="6" fillId="2" borderId="45" xfId="0" applyNumberFormat="1" applyFont="1" applyFill="1" applyBorder="1" applyAlignment="1"/>
    <xf numFmtId="9" fontId="6" fillId="2" borderId="42" xfId="2" applyNumberFormat="1" applyFont="1" applyFill="1" applyBorder="1" applyAlignment="1">
      <alignment horizontal="right"/>
    </xf>
    <xf numFmtId="0" fontId="6" fillId="0" borderId="46" xfId="0" applyFont="1" applyFill="1" applyBorder="1"/>
    <xf numFmtId="10" fontId="6" fillId="2" borderId="42" xfId="2" applyNumberFormat="1" applyFont="1" applyFill="1" applyBorder="1" applyAlignment="1">
      <alignment horizontal="right"/>
    </xf>
    <xf numFmtId="169" fontId="24" fillId="2" borderId="39" xfId="0" applyNumberFormat="1" applyFont="1" applyFill="1" applyBorder="1" applyAlignment="1">
      <alignment horizontal="right"/>
    </xf>
    <xf numFmtId="169" fontId="6" fillId="0" borderId="42" xfId="0" applyNumberFormat="1" applyFont="1" applyFill="1" applyBorder="1" applyAlignment="1">
      <alignment horizontal="right"/>
    </xf>
    <xf numFmtId="0" fontId="6" fillId="2" borderId="50" xfId="0" applyNumberFormat="1" applyFont="1" applyFill="1" applyBorder="1" applyAlignment="1"/>
    <xf numFmtId="0" fontId="3" fillId="0" borderId="46" xfId="0" applyFont="1" applyFill="1" applyBorder="1"/>
    <xf numFmtId="169" fontId="3" fillId="0" borderId="48" xfId="0" applyNumberFormat="1" applyFont="1" applyFill="1" applyBorder="1"/>
    <xf numFmtId="9" fontId="24" fillId="6" borderId="42" xfId="2" applyFont="1" applyFill="1" applyBorder="1" applyAlignment="1">
      <alignment horizontal="center"/>
    </xf>
    <xf numFmtId="164" fontId="24" fillId="0" borderId="44" xfId="2" applyNumberFormat="1" applyFont="1" applyFill="1" applyBorder="1" applyAlignment="1">
      <alignment horizontal="right"/>
    </xf>
    <xf numFmtId="0" fontId="6" fillId="0" borderId="35" xfId="0" applyFont="1" applyFill="1" applyBorder="1"/>
    <xf numFmtId="0" fontId="4" fillId="0" borderId="39" xfId="0" applyFont="1" applyFill="1" applyBorder="1" applyAlignment="1">
      <alignment horizontal="center"/>
    </xf>
    <xf numFmtId="164" fontId="24" fillId="0" borderId="39" xfId="2" applyNumberFormat="1" applyFont="1" applyFill="1" applyBorder="1" applyAlignment="1">
      <alignment horizontal="right"/>
    </xf>
    <xf numFmtId="0" fontId="68" fillId="5" borderId="40" xfId="0" applyFont="1" applyFill="1" applyBorder="1"/>
    <xf numFmtId="0" fontId="68" fillId="5" borderId="41" xfId="0" applyFont="1" applyFill="1" applyBorder="1"/>
    <xf numFmtId="2" fontId="16" fillId="5" borderId="42" xfId="0" applyNumberFormat="1" applyFont="1" applyFill="1" applyBorder="1" applyAlignment="1">
      <alignment horizontal="center"/>
    </xf>
    <xf numFmtId="0" fontId="68" fillId="5" borderId="43" xfId="0" applyFont="1" applyFill="1" applyBorder="1"/>
    <xf numFmtId="2" fontId="16" fillId="5" borderId="44" xfId="0" applyNumberFormat="1" applyFont="1" applyFill="1" applyBorder="1" applyAlignment="1">
      <alignment horizontal="right"/>
    </xf>
    <xf numFmtId="0" fontId="68" fillId="5" borderId="53" xfId="0" applyFont="1" applyFill="1" applyBorder="1"/>
    <xf numFmtId="164" fontId="16" fillId="5" borderId="54" xfId="2" applyNumberFormat="1" applyFont="1" applyFill="1" applyBorder="1" applyAlignment="1">
      <alignment horizontal="right"/>
    </xf>
    <xf numFmtId="0" fontId="74" fillId="5" borderId="55" xfId="3" applyFont="1" applyFill="1" applyBorder="1" applyAlignment="1" applyProtection="1"/>
    <xf numFmtId="0" fontId="6" fillId="5" borderId="37" xfId="0" applyFont="1" applyFill="1" applyBorder="1"/>
    <xf numFmtId="0" fontId="6" fillId="5" borderId="56" xfId="0" applyFont="1" applyFill="1" applyBorder="1"/>
    <xf numFmtId="9" fontId="24" fillId="0" borderId="44" xfId="2" applyFont="1" applyFill="1" applyBorder="1" applyAlignment="1">
      <alignment horizontal="right"/>
    </xf>
    <xf numFmtId="0" fontId="24" fillId="6" borderId="32" xfId="0" applyFont="1" applyFill="1" applyBorder="1" applyAlignment="1">
      <alignment horizontal="center"/>
    </xf>
    <xf numFmtId="2" fontId="24" fillId="2" borderId="32" xfId="0" applyNumberFormat="1" applyFont="1" applyFill="1" applyBorder="1" applyAlignment="1">
      <alignment horizontal="right"/>
    </xf>
    <xf numFmtId="0" fontId="6" fillId="0" borderId="55" xfId="0" applyFont="1" applyFill="1" applyBorder="1"/>
    <xf numFmtId="0" fontId="3" fillId="0" borderId="40" xfId="0" applyFont="1" applyFill="1" applyBorder="1"/>
    <xf numFmtId="0" fontId="4" fillId="0" borderId="41" xfId="0" applyFont="1" applyFill="1" applyBorder="1" applyAlignment="1">
      <alignment horizontal="center"/>
    </xf>
    <xf numFmtId="6" fontId="24" fillId="0" borderId="42" xfId="0" applyNumberFormat="1" applyFont="1" applyFill="1" applyBorder="1" applyAlignment="1">
      <alignment horizontal="right"/>
    </xf>
    <xf numFmtId="9" fontId="24" fillId="6" borderId="48" xfId="2" applyFont="1" applyFill="1" applyBorder="1" applyAlignment="1">
      <alignment horizontal="center"/>
    </xf>
    <xf numFmtId="0" fontId="6" fillId="0" borderId="49" xfId="0" applyFont="1" applyFill="1" applyBorder="1"/>
    <xf numFmtId="9" fontId="24" fillId="0" borderId="42" xfId="2" applyFont="1" applyFill="1" applyBorder="1" applyAlignment="1">
      <alignment horizontal="right"/>
    </xf>
    <xf numFmtId="0" fontId="4" fillId="0" borderId="35" xfId="0" applyFont="1" applyFill="1" applyBorder="1" applyAlignment="1">
      <alignment horizontal="center"/>
    </xf>
    <xf numFmtId="0" fontId="6" fillId="0" borderId="60" xfId="0" applyFont="1" applyFill="1" applyBorder="1"/>
    <xf numFmtId="0" fontId="6" fillId="0" borderId="61" xfId="0" applyFont="1" applyFill="1" applyBorder="1"/>
    <xf numFmtId="0" fontId="6" fillId="0" borderId="49" xfId="0" applyFont="1" applyFill="1" applyBorder="1" applyAlignment="1">
      <alignment horizontal="left"/>
    </xf>
    <xf numFmtId="169" fontId="24" fillId="2" borderId="48" xfId="0" applyNumberFormat="1" applyFont="1" applyFill="1" applyBorder="1" applyAlignment="1">
      <alignment horizontal="right"/>
    </xf>
    <xf numFmtId="0" fontId="21" fillId="0" borderId="57" xfId="0" applyFont="1" applyFill="1" applyBorder="1" applyAlignment="1">
      <alignment horizontal="left"/>
    </xf>
    <xf numFmtId="0" fontId="3" fillId="0" borderId="60" xfId="0" applyFont="1" applyFill="1" applyBorder="1" applyAlignment="1">
      <alignment horizontal="center"/>
    </xf>
    <xf numFmtId="0" fontId="3" fillId="0" borderId="61" xfId="0" applyFont="1" applyFill="1" applyBorder="1" applyAlignment="1">
      <alignment horizontal="center"/>
    </xf>
    <xf numFmtId="0" fontId="6" fillId="0" borderId="52" xfId="0" applyFont="1" applyFill="1" applyBorder="1" applyAlignment="1">
      <alignment horizontal="left"/>
    </xf>
    <xf numFmtId="0" fontId="21" fillId="0" borderId="57" xfId="0" applyFont="1" applyFill="1" applyBorder="1"/>
    <xf numFmtId="6" fontId="6" fillId="0" borderId="39" xfId="0" applyNumberFormat="1" applyFont="1" applyFill="1" applyBorder="1" applyAlignment="1">
      <alignment horizontal="right"/>
    </xf>
    <xf numFmtId="0" fontId="6" fillId="0" borderId="61" xfId="0" applyFont="1" applyFill="1" applyBorder="1" applyAlignment="1">
      <alignment horizontal="right"/>
    </xf>
    <xf numFmtId="164" fontId="24" fillId="0" borderId="31" xfId="0" applyNumberFormat="1" applyFont="1" applyFill="1" applyBorder="1" applyAlignment="1">
      <alignment horizontal="right"/>
    </xf>
    <xf numFmtId="0" fontId="21" fillId="0" borderId="1" xfId="0" applyFont="1" applyFill="1" applyBorder="1"/>
    <xf numFmtId="9" fontId="24" fillId="0" borderId="39" xfId="0" applyNumberFormat="1" applyFont="1" applyFill="1" applyBorder="1" applyAlignment="1">
      <alignment horizontal="right"/>
    </xf>
    <xf numFmtId="0" fontId="3" fillId="0" borderId="30" xfId="0" applyFont="1" applyFill="1" applyBorder="1" applyAlignment="1">
      <alignment horizontal="left"/>
    </xf>
    <xf numFmtId="0" fontId="22" fillId="0" borderId="29" xfId="0" applyFont="1" applyFill="1" applyBorder="1" applyAlignment="1">
      <alignment horizontal="center"/>
    </xf>
    <xf numFmtId="0" fontId="22" fillId="0" borderId="31" xfId="0" applyFont="1" applyFill="1" applyBorder="1" applyAlignment="1">
      <alignment horizontal="center"/>
    </xf>
    <xf numFmtId="0" fontId="6" fillId="0" borderId="30" xfId="0" applyFont="1" applyFill="1" applyBorder="1" applyAlignment="1">
      <alignment horizontal="left" indent="1"/>
    </xf>
    <xf numFmtId="164" fontId="24" fillId="0" borderId="29" xfId="2" applyNumberFormat="1" applyFont="1" applyFill="1" applyBorder="1" applyAlignment="1">
      <alignment horizontal="center"/>
    </xf>
    <xf numFmtId="164" fontId="24" fillId="0" borderId="31" xfId="2" applyNumberFormat="1" applyFont="1" applyFill="1" applyBorder="1" applyAlignment="1">
      <alignment horizontal="center"/>
    </xf>
    <xf numFmtId="0" fontId="6" fillId="0" borderId="40" xfId="0" applyFont="1" applyFill="1" applyBorder="1" applyAlignment="1">
      <alignment horizontal="left" indent="1"/>
    </xf>
    <xf numFmtId="164" fontId="24" fillId="0" borderId="41" xfId="2" applyNumberFormat="1" applyFont="1" applyFill="1" applyBorder="1" applyAlignment="1">
      <alignment horizontal="center"/>
    </xf>
    <xf numFmtId="164" fontId="24" fillId="0" borderId="42" xfId="2" applyNumberFormat="1" applyFont="1" applyFill="1" applyBorder="1" applyAlignment="1">
      <alignment horizontal="center"/>
    </xf>
    <xf numFmtId="0" fontId="6" fillId="0" borderId="43" xfId="0" applyFont="1" applyFill="1" applyBorder="1" applyAlignment="1">
      <alignment horizontal="left" indent="1"/>
    </xf>
    <xf numFmtId="164" fontId="24" fillId="0" borderId="32" xfId="2" applyNumberFormat="1" applyFont="1" applyFill="1" applyBorder="1" applyAlignment="1">
      <alignment horizontal="center"/>
    </xf>
    <xf numFmtId="0" fontId="6" fillId="0" borderId="45" xfId="0" applyFont="1" applyFill="1" applyBorder="1" applyAlignment="1">
      <alignment horizontal="left" indent="1"/>
    </xf>
    <xf numFmtId="164" fontId="24" fillId="0" borderId="35" xfId="2" applyNumberFormat="1" applyFont="1" applyFill="1" applyBorder="1" applyAlignment="1">
      <alignment horizontal="center"/>
    </xf>
    <xf numFmtId="164" fontId="24" fillId="0" borderId="39" xfId="2" applyNumberFormat="1" applyFont="1" applyFill="1" applyBorder="1" applyAlignment="1">
      <alignment horizontal="center"/>
    </xf>
    <xf numFmtId="0" fontId="75" fillId="0" borderId="30" xfId="3" applyFont="1" applyFill="1" applyBorder="1" applyAlignment="1" applyProtection="1"/>
    <xf numFmtId="0" fontId="3" fillId="0" borderId="29" xfId="0" applyFont="1" applyFill="1" applyBorder="1"/>
    <xf numFmtId="0" fontId="3" fillId="0" borderId="62" xfId="0" applyFont="1" applyFill="1" applyBorder="1"/>
    <xf numFmtId="0" fontId="3" fillId="0" borderId="31" xfId="0" applyFont="1" applyFill="1" applyBorder="1"/>
    <xf numFmtId="0" fontId="6" fillId="0" borderId="29" xfId="0" applyFont="1" applyBorder="1"/>
    <xf numFmtId="9" fontId="24" fillId="6" borderId="31" xfId="2" applyFont="1" applyFill="1" applyBorder="1" applyAlignment="1">
      <alignment horizontal="center"/>
    </xf>
    <xf numFmtId="164" fontId="24" fillId="0" borderId="42" xfId="2" applyNumberFormat="1" applyFont="1" applyFill="1" applyBorder="1" applyAlignment="1">
      <alignment horizontal="right"/>
    </xf>
    <xf numFmtId="0" fontId="6" fillId="0" borderId="38" xfId="0" applyFont="1" applyFill="1" applyBorder="1"/>
    <xf numFmtId="0" fontId="6" fillId="0" borderId="64" xfId="0" applyFont="1" applyFill="1" applyBorder="1"/>
    <xf numFmtId="0" fontId="4" fillId="2" borderId="21" xfId="0" applyNumberFormat="1" applyFont="1" applyFill="1" applyBorder="1" applyAlignment="1">
      <alignment horizontal="center"/>
    </xf>
    <xf numFmtId="10" fontId="4" fillId="0" borderId="65" xfId="2" applyNumberFormat="1" applyFont="1" applyFill="1" applyBorder="1" applyAlignment="1">
      <alignment horizontal="right"/>
    </xf>
    <xf numFmtId="0" fontId="6" fillId="0" borderId="66" xfId="0" applyFont="1" applyBorder="1"/>
    <xf numFmtId="0" fontId="4" fillId="2" borderId="67" xfId="0" applyNumberFormat="1" applyFont="1" applyFill="1" applyBorder="1" applyAlignment="1">
      <alignment horizontal="center"/>
    </xf>
    <xf numFmtId="2" fontId="24" fillId="6" borderId="68" xfId="0" applyNumberFormat="1" applyFont="1" applyFill="1" applyBorder="1" applyAlignment="1">
      <alignment horizontal="center"/>
    </xf>
    <xf numFmtId="0" fontId="4" fillId="8" borderId="0" xfId="0" applyNumberFormat="1" applyFont="1" applyFill="1" applyAlignment="1">
      <alignment horizontal="right" indent="1"/>
    </xf>
    <xf numFmtId="0" fontId="9" fillId="8" borderId="0" xfId="0" applyNumberFormat="1" applyFont="1" applyFill="1" applyAlignment="1">
      <alignment horizontal="center"/>
    </xf>
    <xf numFmtId="0" fontId="84" fillId="8" borderId="25" xfId="0" applyFont="1" applyFill="1" applyBorder="1" applyAlignment="1">
      <alignment horizontal="center" vertical="center"/>
    </xf>
    <xf numFmtId="0" fontId="6" fillId="14" borderId="0" xfId="0" applyFont="1" applyFill="1" applyBorder="1"/>
    <xf numFmtId="0" fontId="29" fillId="8" borderId="8" xfId="0" applyFont="1" applyFill="1" applyBorder="1" applyAlignment="1">
      <alignment horizontal="left" vertical="center" wrapText="1"/>
    </xf>
    <xf numFmtId="0" fontId="87" fillId="8" borderId="0" xfId="3" applyFont="1" applyFill="1" applyBorder="1" applyAlignment="1" applyProtection="1"/>
    <xf numFmtId="0" fontId="53" fillId="14" borderId="0" xfId="0" applyFont="1" applyFill="1" applyBorder="1"/>
    <xf numFmtId="0" fontId="17" fillId="14" borderId="0" xfId="3" applyFill="1" applyBorder="1" applyAlignment="1" applyProtection="1"/>
    <xf numFmtId="0" fontId="6" fillId="14" borderId="0" xfId="0" applyNumberFormat="1" applyFont="1" applyFill="1" applyBorder="1" applyAlignment="1"/>
    <xf numFmtId="0" fontId="49" fillId="0" borderId="9" xfId="0" applyFont="1" applyBorder="1" applyAlignment="1">
      <alignment horizontal="center"/>
    </xf>
    <xf numFmtId="0" fontId="3" fillId="0" borderId="23" xfId="0" applyFont="1" applyFill="1" applyBorder="1"/>
    <xf numFmtId="0" fontId="6" fillId="0" borderId="69" xfId="0" applyFont="1" applyFill="1" applyBorder="1"/>
    <xf numFmtId="0" fontId="24" fillId="6" borderId="68" xfId="0" applyFont="1" applyFill="1" applyBorder="1" applyAlignment="1">
      <alignment horizontal="center"/>
    </xf>
    <xf numFmtId="0" fontId="24" fillId="6" borderId="44" xfId="0" applyFont="1" applyFill="1" applyBorder="1" applyAlignment="1">
      <alignment horizontal="center"/>
    </xf>
    <xf numFmtId="6" fontId="6" fillId="0" borderId="39" xfId="0" applyNumberFormat="1" applyFont="1" applyFill="1" applyBorder="1"/>
    <xf numFmtId="9" fontId="4" fillId="2" borderId="4" xfId="2" applyFont="1" applyFill="1" applyBorder="1" applyAlignment="1">
      <alignment horizontal="center"/>
    </xf>
    <xf numFmtId="9" fontId="4" fillId="2" borderId="67" xfId="2" applyFont="1" applyFill="1" applyBorder="1" applyAlignment="1">
      <alignment horizontal="center"/>
    </xf>
    <xf numFmtId="0" fontId="87" fillId="8" borderId="0" xfId="3" applyFont="1" applyFill="1" applyBorder="1" applyAlignment="1" applyProtection="1">
      <alignment vertical="center" wrapText="1"/>
    </xf>
    <xf numFmtId="0" fontId="88" fillId="8" borderId="0" xfId="0" applyFont="1" applyFill="1" applyBorder="1" applyAlignment="1">
      <alignment wrapText="1"/>
    </xf>
    <xf numFmtId="0" fontId="29" fillId="8" borderId="23" xfId="0" applyFont="1" applyFill="1" applyBorder="1" applyAlignment="1">
      <alignment vertical="center" wrapText="1"/>
    </xf>
    <xf numFmtId="0" fontId="45" fillId="8" borderId="10" xfId="0" applyFont="1" applyFill="1" applyBorder="1" applyAlignment="1">
      <alignment vertical="center" wrapText="1"/>
    </xf>
    <xf numFmtId="9" fontId="4" fillId="2" borderId="28" xfId="2" applyFont="1" applyFill="1" applyBorder="1" applyAlignment="1">
      <alignment horizontal="center"/>
    </xf>
    <xf numFmtId="6" fontId="6" fillId="0" borderId="51" xfId="0" applyNumberFormat="1" applyFont="1" applyFill="1" applyBorder="1" applyAlignment="1">
      <alignment horizontal="right"/>
    </xf>
    <xf numFmtId="0" fontId="6" fillId="0" borderId="45" xfId="0" applyFont="1" applyBorder="1"/>
    <xf numFmtId="0" fontId="49" fillId="0" borderId="0" xfId="0" applyFont="1" applyBorder="1" applyAlignment="1">
      <alignment horizontal="center"/>
    </xf>
    <xf numFmtId="40" fontId="4" fillId="0" borderId="0" xfId="0" applyNumberFormat="1" applyFont="1" applyAlignment="1">
      <alignment horizontal="center"/>
    </xf>
    <xf numFmtId="0" fontId="89" fillId="0" borderId="17" xfId="0" applyFont="1" applyBorder="1"/>
    <xf numFmtId="0" fontId="51" fillId="0" borderId="9" xfId="0" applyFont="1" applyBorder="1"/>
    <xf numFmtId="9" fontId="49" fillId="0" borderId="21" xfId="2" applyNumberFormat="1" applyFont="1" applyBorder="1" applyAlignment="1">
      <alignment horizontal="center"/>
    </xf>
    <xf numFmtId="40" fontId="49" fillId="0" borderId="21" xfId="0" applyNumberFormat="1" applyFont="1" applyBorder="1" applyAlignment="1">
      <alignment horizontal="center"/>
    </xf>
    <xf numFmtId="0" fontId="55" fillId="0" borderId="0" xfId="0" applyFont="1" applyFill="1" applyBorder="1" applyAlignment="1">
      <alignment horizontal="center"/>
    </xf>
    <xf numFmtId="0" fontId="44" fillId="0" borderId="17" xfId="0" applyFont="1" applyFill="1" applyBorder="1"/>
    <xf numFmtId="0" fontId="51" fillId="0" borderId="6" xfId="0" applyFont="1" applyFill="1" applyBorder="1" applyAlignment="1">
      <alignment horizontal="center"/>
    </xf>
    <xf numFmtId="0" fontId="55" fillId="0" borderId="6" xfId="0" applyFont="1" applyFill="1" applyBorder="1" applyAlignment="1">
      <alignment horizontal="center"/>
    </xf>
    <xf numFmtId="0" fontId="3" fillId="0" borderId="66" xfId="0" applyFont="1" applyFill="1" applyBorder="1"/>
    <xf numFmtId="6" fontId="24" fillId="0" borderId="32" xfId="0" applyNumberFormat="1" applyFont="1" applyFill="1" applyBorder="1" applyAlignment="1">
      <alignment horizontal="right"/>
    </xf>
    <xf numFmtId="169" fontId="24" fillId="0" borderId="32" xfId="0" applyNumberFormat="1" applyFont="1" applyFill="1" applyBorder="1" applyAlignment="1">
      <alignment horizontal="right"/>
    </xf>
    <xf numFmtId="6" fontId="24" fillId="0" borderId="68" xfId="0" applyNumberFormat="1" applyFont="1" applyFill="1" applyBorder="1" applyAlignment="1">
      <alignment horizontal="right"/>
    </xf>
    <xf numFmtId="3" fontId="55" fillId="0" borderId="21" xfId="0" applyNumberFormat="1" applyFont="1" applyBorder="1" applyAlignment="1" applyProtection="1">
      <alignment horizontal="center"/>
    </xf>
    <xf numFmtId="164" fontId="49" fillId="0" borderId="21" xfId="2" applyNumberFormat="1" applyFont="1" applyBorder="1" applyAlignment="1" applyProtection="1">
      <alignment horizontal="center"/>
    </xf>
    <xf numFmtId="0" fontId="49" fillId="0" borderId="21" xfId="0" applyFont="1" applyBorder="1" applyAlignment="1" applyProtection="1">
      <alignment horizontal="center"/>
    </xf>
    <xf numFmtId="9" fontId="49" fillId="0" borderId="21" xfId="2" applyNumberFormat="1" applyFont="1" applyBorder="1" applyAlignment="1" applyProtection="1">
      <alignment horizontal="center"/>
    </xf>
    <xf numFmtId="169" fontId="49" fillId="0" borderId="21" xfId="0" applyNumberFormat="1" applyFont="1" applyBorder="1" applyAlignment="1" applyProtection="1">
      <alignment horizontal="center"/>
    </xf>
    <xf numFmtId="40" fontId="49" fillId="0" borderId="21" xfId="0" applyNumberFormat="1" applyFont="1" applyBorder="1" applyAlignment="1" applyProtection="1">
      <alignment horizontal="center"/>
    </xf>
    <xf numFmtId="9" fontId="49" fillId="0" borderId="21" xfId="0" applyNumberFormat="1" applyFont="1" applyBorder="1" applyAlignment="1" applyProtection="1">
      <alignment horizontal="center"/>
    </xf>
    <xf numFmtId="10" fontId="49" fillId="0" borderId="21" xfId="0" applyNumberFormat="1" applyFont="1" applyBorder="1" applyAlignment="1" applyProtection="1">
      <alignment horizontal="center"/>
    </xf>
    <xf numFmtId="0" fontId="49" fillId="0" borderId="5" xfId="0" applyFont="1" applyBorder="1" applyAlignment="1" applyProtection="1">
      <alignment horizontal="center"/>
    </xf>
    <xf numFmtId="9" fontId="24" fillId="6" borderId="32" xfId="2" applyFont="1" applyFill="1" applyBorder="1" applyAlignment="1">
      <alignment horizontal="center"/>
    </xf>
    <xf numFmtId="0" fontId="92" fillId="0" borderId="0" xfId="0" applyFont="1" applyBorder="1" applyAlignment="1">
      <alignment horizontal="center" vertical="center"/>
    </xf>
    <xf numFmtId="2" fontId="50" fillId="0" borderId="17" xfId="0" applyNumberFormat="1" applyFont="1" applyFill="1" applyBorder="1" applyAlignment="1">
      <alignment horizontal="center" vertical="center"/>
    </xf>
    <xf numFmtId="2" fontId="50" fillId="0" borderId="6" xfId="0" applyNumberFormat="1" applyFont="1" applyFill="1" applyBorder="1" applyAlignment="1">
      <alignment horizontal="center" vertical="center"/>
    </xf>
    <xf numFmtId="0" fontId="50" fillId="0" borderId="17" xfId="0" applyFont="1" applyBorder="1" applyAlignment="1">
      <alignment horizontal="center" vertical="center"/>
    </xf>
    <xf numFmtId="0" fontId="93" fillId="0" borderId="17" xfId="0" applyFont="1" applyFill="1" applyBorder="1" applyAlignment="1">
      <alignment horizontal="center" vertical="center"/>
    </xf>
    <xf numFmtId="0" fontId="93" fillId="0" borderId="0" xfId="0" applyFont="1" applyAlignment="1">
      <alignment horizontal="center" vertical="center"/>
    </xf>
    <xf numFmtId="0" fontId="50" fillId="0" borderId="12" xfId="0" applyFont="1" applyBorder="1" applyAlignment="1">
      <alignment horizontal="center" vertical="center"/>
    </xf>
    <xf numFmtId="0" fontId="92" fillId="0" borderId="14" xfId="0" applyFont="1" applyBorder="1" applyAlignment="1">
      <alignment horizontal="center" vertical="center"/>
    </xf>
    <xf numFmtId="2" fontId="50" fillId="0" borderId="4" xfId="0" applyNumberFormat="1" applyFont="1" applyFill="1" applyBorder="1" applyAlignment="1">
      <alignment horizontal="center" vertical="center"/>
    </xf>
    <xf numFmtId="0" fontId="93" fillId="0" borderId="0" xfId="0" applyFont="1" applyFill="1" applyBorder="1" applyAlignment="1">
      <alignment horizontal="center" vertical="center"/>
    </xf>
    <xf numFmtId="0" fontId="6" fillId="0" borderId="4" xfId="0" applyFont="1" applyFill="1" applyBorder="1"/>
    <xf numFmtId="3" fontId="6" fillId="0" borderId="4" xfId="0" applyNumberFormat="1" applyFont="1" applyFill="1" applyBorder="1"/>
    <xf numFmtId="169" fontId="6" fillId="0" borderId="0" xfId="0" applyNumberFormat="1" applyFont="1" applyFill="1" applyBorder="1" applyAlignment="1"/>
    <xf numFmtId="0" fontId="42" fillId="2" borderId="4" xfId="0" applyNumberFormat="1" applyFont="1" applyFill="1" applyBorder="1" applyAlignment="1" applyProtection="1">
      <alignment vertical="center"/>
    </xf>
    <xf numFmtId="169" fontId="24" fillId="0" borderId="4" xfId="1" applyNumberFormat="1" applyFont="1" applyBorder="1" applyAlignment="1" applyProtection="1">
      <alignment horizontal="center" vertical="center"/>
    </xf>
    <xf numFmtId="9" fontId="24" fillId="2" borderId="5" xfId="2" applyFont="1" applyFill="1" applyBorder="1" applyAlignment="1" applyProtection="1">
      <alignment horizontal="center" vertical="center"/>
    </xf>
    <xf numFmtId="9" fontId="24" fillId="6" borderId="5" xfId="0" applyNumberFormat="1" applyFont="1" applyFill="1" applyBorder="1" applyAlignment="1" applyProtection="1">
      <alignment horizontal="center"/>
    </xf>
    <xf numFmtId="0" fontId="42" fillId="2" borderId="6" xfId="0" applyNumberFormat="1" applyFont="1" applyFill="1" applyBorder="1" applyAlignment="1" applyProtection="1">
      <alignment vertical="center"/>
    </xf>
    <xf numFmtId="169" fontId="24" fillId="0" borderId="6" xfId="1" applyNumberFormat="1" applyFont="1" applyBorder="1" applyAlignment="1" applyProtection="1">
      <alignment horizontal="center" vertical="center"/>
    </xf>
    <xf numFmtId="0" fontId="51" fillId="0" borderId="17" xfId="0" applyFont="1" applyFill="1" applyBorder="1"/>
    <xf numFmtId="171" fontId="49" fillId="0" borderId="21" xfId="0" applyNumberFormat="1" applyFont="1" applyBorder="1" applyAlignment="1">
      <alignment horizontal="center"/>
    </xf>
    <xf numFmtId="3" fontId="24" fillId="0" borderId="4" xfId="0" applyNumberFormat="1" applyFont="1" applyFill="1" applyBorder="1"/>
    <xf numFmtId="9" fontId="24" fillId="0" borderId="4" xfId="0" applyNumberFormat="1" applyFont="1" applyFill="1" applyBorder="1"/>
    <xf numFmtId="169" fontId="6" fillId="0" borderId="9" xfId="0" applyNumberFormat="1" applyFont="1" applyFill="1" applyBorder="1" applyAlignment="1"/>
    <xf numFmtId="0" fontId="21" fillId="0" borderId="0" xfId="0" applyNumberFormat="1" applyFont="1" applyFill="1" applyAlignment="1">
      <alignment horizontal="center"/>
    </xf>
    <xf numFmtId="169" fontId="3" fillId="0" borderId="0" xfId="0" applyNumberFormat="1" applyFont="1" applyFill="1" applyAlignment="1"/>
    <xf numFmtId="0" fontId="6" fillId="0" borderId="0" xfId="0" applyNumberFormat="1" applyFont="1" applyFill="1" applyAlignment="1">
      <alignment horizontal="center"/>
    </xf>
    <xf numFmtId="171" fontId="24" fillId="0" borderId="4" xfId="0" applyNumberFormat="1" applyFont="1" applyFill="1" applyBorder="1"/>
    <xf numFmtId="164" fontId="24" fillId="0" borderId="4" xfId="0" applyNumberFormat="1" applyFont="1" applyFill="1" applyBorder="1"/>
    <xf numFmtId="173" fontId="6" fillId="0" borderId="0" xfId="0" applyNumberFormat="1" applyFont="1" applyFill="1" applyAlignment="1">
      <alignment horizontal="center"/>
    </xf>
    <xf numFmtId="0" fontId="3" fillId="4" borderId="24" xfId="0" applyFont="1" applyFill="1" applyBorder="1" applyAlignment="1">
      <alignment horizontal="center"/>
    </xf>
    <xf numFmtId="174" fontId="24" fillId="0" borderId="44" xfId="5" applyNumberFormat="1" applyFont="1" applyFill="1" applyBorder="1" applyAlignment="1">
      <alignment horizontal="right"/>
    </xf>
    <xf numFmtId="174" fontId="6" fillId="0" borderId="44" xfId="5" applyNumberFormat="1" applyFont="1" applyFill="1" applyBorder="1" applyAlignment="1">
      <alignment horizontal="right"/>
    </xf>
    <xf numFmtId="0" fontId="6" fillId="0" borderId="64" xfId="0" applyNumberFormat="1" applyFont="1" applyFill="1" applyBorder="1" applyAlignment="1"/>
    <xf numFmtId="1" fontId="6" fillId="0" borderId="42" xfId="0" applyNumberFormat="1" applyFont="1" applyFill="1" applyBorder="1" applyAlignment="1">
      <alignment horizontal="right"/>
    </xf>
    <xf numFmtId="1" fontId="6" fillId="0" borderId="44" xfId="0" applyNumberFormat="1" applyFont="1" applyFill="1" applyBorder="1" applyAlignment="1">
      <alignment horizontal="right"/>
    </xf>
    <xf numFmtId="164" fontId="6" fillId="0" borderId="0" xfId="2" applyNumberFormat="1" applyFont="1" applyAlignment="1"/>
    <xf numFmtId="0" fontId="6" fillId="0" borderId="53" xfId="0" applyFont="1" applyFill="1" applyBorder="1" applyAlignment="1">
      <alignment horizontal="left"/>
    </xf>
    <xf numFmtId="0" fontId="4" fillId="0" borderId="6" xfId="0" applyFont="1" applyFill="1" applyBorder="1" applyAlignment="1">
      <alignment horizontal="center"/>
    </xf>
    <xf numFmtId="169" fontId="24" fillId="2" borderId="65" xfId="0" applyNumberFormat="1" applyFont="1" applyFill="1" applyBorder="1" applyAlignment="1">
      <alignment horizontal="right"/>
    </xf>
    <xf numFmtId="0" fontId="6" fillId="0" borderId="30" xfId="0" applyFont="1" applyFill="1" applyBorder="1"/>
    <xf numFmtId="164" fontId="24" fillId="2" borderId="31" xfId="2" applyNumberFormat="1" applyFont="1" applyFill="1" applyBorder="1" applyAlignment="1">
      <alignment horizontal="right"/>
    </xf>
    <xf numFmtId="0" fontId="4" fillId="0" borderId="29" xfId="0" applyFont="1" applyFill="1" applyBorder="1" applyAlignment="1">
      <alignment horizontal="center"/>
    </xf>
    <xf numFmtId="9" fontId="6" fillId="0" borderId="0" xfId="2" applyNumberFormat="1" applyFont="1" applyAlignment="1"/>
    <xf numFmtId="171" fontId="24" fillId="0" borderId="44" xfId="0" applyNumberFormat="1" applyFont="1" applyFill="1" applyBorder="1" applyAlignment="1">
      <alignment horizontal="right"/>
    </xf>
    <xf numFmtId="10" fontId="24" fillId="2" borderId="39" xfId="2" applyNumberFormat="1" applyFont="1" applyFill="1" applyBorder="1" applyAlignment="1">
      <alignment horizontal="right"/>
    </xf>
    <xf numFmtId="9" fontId="49" fillId="0" borderId="21" xfId="2" applyFont="1" applyBorder="1" applyAlignment="1">
      <alignment horizontal="center"/>
    </xf>
    <xf numFmtId="0" fontId="75" fillId="0" borderId="0" xfId="3" applyFont="1" applyFill="1" applyBorder="1" applyAlignment="1" applyProtection="1"/>
    <xf numFmtId="0" fontId="3" fillId="0" borderId="0" xfId="0" applyFont="1" applyFill="1" applyBorder="1"/>
    <xf numFmtId="0" fontId="6" fillId="0" borderId="5" xfId="0" applyFont="1" applyFill="1" applyBorder="1"/>
    <xf numFmtId="9" fontId="24" fillId="0" borderId="5" xfId="0" applyNumberFormat="1" applyFont="1" applyFill="1" applyBorder="1"/>
    <xf numFmtId="0" fontId="6" fillId="2" borderId="5" xfId="0" applyNumberFormat="1" applyFont="1" applyFill="1" applyBorder="1" applyAlignment="1"/>
    <xf numFmtId="0" fontId="21" fillId="0" borderId="5" xfId="0" applyNumberFormat="1" applyFont="1" applyFill="1" applyBorder="1" applyAlignment="1">
      <alignment horizontal="center"/>
    </xf>
    <xf numFmtId="174" fontId="24" fillId="0" borderId="5" xfId="5" applyNumberFormat="1" applyFont="1" applyFill="1" applyBorder="1" applyAlignment="1">
      <alignment horizontal="right"/>
    </xf>
    <xf numFmtId="0" fontId="7" fillId="0" borderId="0" xfId="0" applyFont="1" applyFill="1" applyBorder="1" applyAlignment="1">
      <alignment horizontal="left"/>
    </xf>
    <xf numFmtId="164" fontId="24" fillId="0" borderId="12" xfId="2" applyNumberFormat="1" applyFont="1" applyFill="1" applyBorder="1" applyAlignment="1">
      <alignment horizontal="center"/>
    </xf>
    <xf numFmtId="0" fontId="22" fillId="0" borderId="62" xfId="0" applyFont="1" applyFill="1" applyBorder="1" applyAlignment="1">
      <alignment horizontal="center"/>
    </xf>
    <xf numFmtId="164" fontId="24" fillId="0" borderId="62" xfId="2" applyNumberFormat="1" applyFont="1" applyFill="1" applyBorder="1" applyAlignment="1">
      <alignment horizontal="center"/>
    </xf>
    <xf numFmtId="164" fontId="24" fillId="0" borderId="63" xfId="2" applyNumberFormat="1" applyFont="1" applyFill="1" applyBorder="1" applyAlignment="1">
      <alignment horizontal="center"/>
    </xf>
    <xf numFmtId="164" fontId="24" fillId="0" borderId="36" xfId="2" applyNumberFormat="1" applyFont="1" applyFill="1" applyBorder="1" applyAlignment="1">
      <alignment horizontal="center"/>
    </xf>
    <xf numFmtId="0" fontId="86" fillId="5" borderId="8" xfId="0" applyFont="1" applyFill="1" applyBorder="1" applyAlignment="1">
      <alignment vertical="center"/>
    </xf>
    <xf numFmtId="0" fontId="86" fillId="5" borderId="0" xfId="0" applyFont="1" applyFill="1" applyBorder="1" applyAlignment="1">
      <alignment vertical="center" wrapText="1"/>
    </xf>
    <xf numFmtId="0" fontId="6" fillId="0" borderId="11" xfId="0" applyFont="1" applyFill="1" applyBorder="1"/>
    <xf numFmtId="0" fontId="6" fillId="0" borderId="9" xfId="0" applyFont="1" applyFill="1" applyBorder="1"/>
    <xf numFmtId="169" fontId="6" fillId="0" borderId="4" xfId="2" applyNumberFormat="1" applyFont="1" applyFill="1" applyBorder="1" applyAlignment="1">
      <alignment horizontal="right"/>
    </xf>
    <xf numFmtId="0" fontId="3" fillId="0" borderId="25" xfId="0" applyFont="1" applyFill="1" applyBorder="1" applyAlignment="1">
      <alignment horizontal="center"/>
    </xf>
    <xf numFmtId="164" fontId="24" fillId="0" borderId="12" xfId="2" applyNumberFormat="1" applyFont="1" applyFill="1" applyBorder="1" applyAlignment="1">
      <alignment horizontal="center"/>
    </xf>
    <xf numFmtId="164" fontId="24" fillId="0" borderId="13" xfId="2" applyNumberFormat="1" applyFont="1" applyFill="1" applyBorder="1" applyAlignment="1">
      <alignment horizontal="center"/>
    </xf>
    <xf numFmtId="164" fontId="24" fillId="0" borderId="14" xfId="2" applyNumberFormat="1" applyFont="1" applyFill="1" applyBorder="1" applyAlignment="1">
      <alignment horizontal="center"/>
    </xf>
    <xf numFmtId="164" fontId="24" fillId="0" borderId="36" xfId="2" applyNumberFormat="1" applyFont="1" applyFill="1" applyBorder="1" applyAlignment="1">
      <alignment horizontal="center"/>
    </xf>
    <xf numFmtId="164" fontId="24" fillId="0" borderId="37" xfId="2" applyNumberFormat="1" applyFont="1" applyFill="1" applyBorder="1" applyAlignment="1">
      <alignment horizontal="center"/>
    </xf>
    <xf numFmtId="164" fontId="24" fillId="0" borderId="38" xfId="2" applyNumberFormat="1" applyFont="1" applyFill="1" applyBorder="1" applyAlignment="1">
      <alignment horizontal="center"/>
    </xf>
    <xf numFmtId="0" fontId="3" fillId="0" borderId="62" xfId="0" applyFont="1" applyFill="1" applyBorder="1" applyAlignment="1">
      <alignment horizontal="center"/>
    </xf>
    <xf numFmtId="0" fontId="3" fillId="0" borderId="2" xfId="0" applyFont="1" applyFill="1" applyBorder="1" applyAlignment="1">
      <alignment horizontal="center"/>
    </xf>
    <xf numFmtId="0" fontId="3" fillId="0" borderId="59" xfId="0" applyFont="1" applyFill="1" applyBorder="1" applyAlignment="1">
      <alignment horizontal="center"/>
    </xf>
    <xf numFmtId="0" fontId="8" fillId="5" borderId="2" xfId="0" applyFont="1" applyFill="1" applyBorder="1" applyAlignment="1">
      <alignment horizontal="center" vertical="center"/>
    </xf>
    <xf numFmtId="0" fontId="8" fillId="5" borderId="10" xfId="0" applyFont="1" applyFill="1" applyBorder="1" applyAlignment="1">
      <alignment horizontal="center" vertical="center"/>
    </xf>
    <xf numFmtId="0" fontId="22" fillId="0" borderId="62" xfId="0" applyFont="1" applyFill="1" applyBorder="1" applyAlignment="1">
      <alignment horizontal="center"/>
    </xf>
    <xf numFmtId="0" fontId="22" fillId="0" borderId="2" xfId="0" applyFont="1" applyFill="1" applyBorder="1" applyAlignment="1">
      <alignment horizontal="center"/>
    </xf>
    <xf numFmtId="0" fontId="22" fillId="0" borderId="59" xfId="0" applyFont="1" applyFill="1" applyBorder="1" applyAlignment="1">
      <alignment horizontal="center"/>
    </xf>
    <xf numFmtId="164" fontId="24" fillId="0" borderId="62" xfId="2" applyNumberFormat="1" applyFont="1" applyFill="1" applyBorder="1" applyAlignment="1">
      <alignment horizontal="center"/>
    </xf>
    <xf numFmtId="164" fontId="24" fillId="0" borderId="2" xfId="2" applyNumberFormat="1" applyFont="1" applyFill="1" applyBorder="1" applyAlignment="1">
      <alignment horizontal="center"/>
    </xf>
    <xf numFmtId="164" fontId="24" fillId="0" borderId="59" xfId="2" applyNumberFormat="1" applyFont="1" applyFill="1" applyBorder="1" applyAlignment="1">
      <alignment horizontal="center"/>
    </xf>
    <xf numFmtId="164" fontId="24" fillId="0" borderId="63" xfId="2" applyNumberFormat="1" applyFont="1" applyFill="1" applyBorder="1" applyAlignment="1">
      <alignment horizontal="center"/>
    </xf>
    <xf numFmtId="164" fontId="24" fillId="0" borderId="60" xfId="2" applyNumberFormat="1" applyFont="1" applyFill="1" applyBorder="1" applyAlignment="1">
      <alignment horizontal="center"/>
    </xf>
    <xf numFmtId="164" fontId="24" fillId="0" borderId="58" xfId="2" applyNumberFormat="1" applyFont="1" applyFill="1" applyBorder="1" applyAlignment="1">
      <alignment horizontal="center"/>
    </xf>
    <xf numFmtId="0" fontId="65" fillId="0" borderId="0" xfId="0" applyFont="1" applyFill="1" applyBorder="1" applyAlignment="1">
      <alignment horizontal="center"/>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49" fillId="0" borderId="0" xfId="0" applyFont="1" applyBorder="1" applyAlignment="1">
      <alignment horizontal="center" vertical="center"/>
    </xf>
    <xf numFmtId="0" fontId="49" fillId="0" borderId="0" xfId="0" applyFont="1" applyBorder="1" applyAlignment="1">
      <alignment horizontal="center"/>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66" fillId="0" borderId="19" xfId="0" applyFont="1" applyBorder="1" applyAlignment="1">
      <alignment horizontal="center" vertical="center" wrapText="1"/>
    </xf>
    <xf numFmtId="0" fontId="66" fillId="0" borderId="15" xfId="0" applyFont="1" applyBorder="1" applyAlignment="1">
      <alignment horizontal="center" vertical="center" wrapText="1"/>
    </xf>
    <xf numFmtId="0" fontId="66" fillId="0" borderId="20"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12" xfId="0" applyFont="1" applyBorder="1" applyAlignment="1">
      <alignment horizontal="center"/>
    </xf>
    <xf numFmtId="0" fontId="66" fillId="0" borderId="14" xfId="0" applyFont="1" applyBorder="1" applyAlignment="1">
      <alignment horizontal="center"/>
    </xf>
    <xf numFmtId="0" fontId="3" fillId="8" borderId="0" xfId="0" applyNumberFormat="1" applyFont="1" applyFill="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78" fontId="3" fillId="11" borderId="1" xfId="0" applyNumberFormat="1" applyFont="1" applyFill="1" applyBorder="1" applyAlignment="1">
      <alignment horizontal="left"/>
    </xf>
    <xf numFmtId="178" fontId="3" fillId="11" borderId="3" xfId="0" applyNumberFormat="1" applyFont="1" applyFill="1" applyBorder="1" applyAlignment="1">
      <alignment horizontal="left"/>
    </xf>
    <xf numFmtId="0" fontId="38" fillId="4" borderId="1"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28" fillId="0" borderId="12" xfId="0" applyFont="1" applyBorder="1" applyAlignment="1">
      <alignment horizontal="left" wrapText="1"/>
    </xf>
    <xf numFmtId="0" fontId="28" fillId="0" borderId="14" xfId="0" applyFont="1" applyBorder="1" applyAlignment="1">
      <alignment horizontal="left" wrapText="1"/>
    </xf>
  </cellXfs>
  <cellStyles count="6">
    <cellStyle name="Comma" xfId="5" builtinId="3"/>
    <cellStyle name="Currency" xfId="1" builtinId="4"/>
    <cellStyle name="Hyperlink" xfId="3" builtinId="8"/>
    <cellStyle name="Normal" xfId="0" builtinId="0"/>
    <cellStyle name="Percent" xfId="2" builtinId="5"/>
    <cellStyle name="Percent 2" xfId="4" xr:uid="{00000000-0005-0000-0000-000005000000}"/>
  </cellStyles>
  <dxfs count="14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dxf>
    <dxf>
      <fill>
        <patternFill patternType="none">
          <bgColor auto="1"/>
        </patternFill>
      </fill>
    </dxf>
    <dxf>
      <fill>
        <patternFill patternType="none">
          <bgColor auto="1"/>
        </patternFill>
      </fill>
    </dxf>
    <dxf>
      <font>
        <color auto="1"/>
      </font>
      <fill>
        <patternFill>
          <bgColor rgb="FF00B050"/>
        </patternFill>
      </fill>
    </dxf>
    <dxf>
      <font>
        <color auto="1"/>
      </font>
      <fill>
        <patternFill>
          <bgColor rgb="FF00B050"/>
        </patternFill>
      </fill>
    </dxf>
    <dxf>
      <font>
        <color theme="0" tint="-0.14996795556505021"/>
      </font>
      <fill>
        <patternFill>
          <fgColor auto="1"/>
          <bgColor theme="0" tint="-0.1499374370555742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ont>
        <color theme="0" tint="-0.14996795556505021"/>
      </font>
      <fill>
        <patternFill>
          <fgColor auto="1"/>
          <bgColor theme="0" tint="-0.14993743705557422"/>
        </patternFill>
      </fill>
    </dxf>
    <dxf>
      <font>
        <color rgb="FF0070C0"/>
      </font>
      <fill>
        <patternFill>
          <bgColor theme="0"/>
        </patternFill>
      </fill>
    </dxf>
    <dxf>
      <font>
        <color rgb="FF0070C0"/>
      </font>
      <fill>
        <patternFill>
          <bgColor theme="0"/>
        </patternFill>
      </fill>
    </dxf>
    <dxf>
      <fill>
        <patternFill patternType="none">
          <bgColor auto="1"/>
        </patternFill>
      </fill>
    </dxf>
    <dxf>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00B05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theme="3" tint="0.39994506668294322"/>
      </font>
      <fill>
        <patternFill>
          <bgColor rgb="FFFFFF99"/>
        </patternFill>
      </fill>
    </dxf>
    <dxf>
      <font>
        <color auto="1"/>
      </font>
      <fill>
        <patternFill patternType="none">
          <bgColor auto="1"/>
        </patternFill>
      </fill>
    </dxf>
    <dxf>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tint="-0.14996795556505021"/>
      </font>
      <fill>
        <patternFill>
          <bgColor theme="0" tint="-0.14996795556505021"/>
        </patternFill>
      </fill>
    </dxf>
    <dxf>
      <font>
        <color theme="3" tint="0.39994506668294322"/>
      </font>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auto="1"/>
      </font>
      <fill>
        <patternFill patternType="none">
          <bgColor auto="1"/>
        </patternFill>
      </fill>
    </dxf>
    <dxf>
      <font>
        <color theme="3" tint="0.39994506668294322"/>
      </font>
      <fill>
        <patternFill patternType="none">
          <bgColor auto="1"/>
        </patternFill>
      </fill>
    </dxf>
    <dxf>
      <font>
        <b/>
        <i val="0"/>
        <color rgb="FFFFFF00"/>
      </font>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val="0"/>
        <color rgb="FFFFFF00"/>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theme="0" tint="-0.14996795556505021"/>
      </font>
      <fill>
        <patternFill>
          <bgColor theme="0" tint="-0.14996795556505021"/>
        </patternFill>
      </fill>
    </dxf>
    <dxf>
      <fill>
        <patternFill>
          <bgColor rgb="FF00B050"/>
        </patternFill>
      </fill>
    </dxf>
    <dxf>
      <fill>
        <patternFill>
          <bgColor rgb="FF00B050"/>
        </patternFill>
      </fill>
    </dxf>
    <dxf>
      <font>
        <color theme="0" tint="-0.14996795556505021"/>
      </font>
      <fill>
        <patternFill>
          <bgColor theme="0" tint="-0.1499679555650502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colors>
    <mruColors>
      <color rgb="FFFFFF99"/>
      <color rgb="FF000000"/>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1"/>
    </c:title>
    <c:autoTitleDeleted val="0"/>
    <c:plotArea>
      <c:layout/>
      <c:lineChart>
        <c:grouping val="standard"/>
        <c:varyColors val="0"/>
        <c:ser>
          <c:idx val="0"/>
          <c:order val="0"/>
          <c:tx>
            <c:strRef>
              <c:f>'Annual Cash Flows &amp; Returns'!$N$4</c:f>
              <c:strCache>
                <c:ptCount val="1"/>
                <c:pt idx="0">
                  <c:v>Cumulative Cash Flow</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Returns'!$N$6:$N$36</c:f>
              <c:numCache>
                <c:formatCode>"$"#,##0_);[Red]\("$"#,##0\)</c:formatCode>
                <c:ptCount val="31"/>
                <c:pt idx="0">
                  <c:v>-10402500</c:v>
                </c:pt>
                <c:pt idx="1">
                  <c:v>-4055224.6676718667</c:v>
                </c:pt>
                <c:pt idx="2">
                  <c:v>-1948431.3394927946</c:v>
                </c:pt>
                <c:pt idx="3">
                  <c:v>-610425.90685227234</c:v>
                </c:pt>
                <c:pt idx="4">
                  <c:v>247638.54416270566</c:v>
                </c:pt>
                <c:pt idx="5">
                  <c:v>1115804.592581002</c:v>
                </c:pt>
                <c:pt idx="6">
                  <c:v>1611680.2521835235</c:v>
                </c:pt>
                <c:pt idx="7">
                  <c:v>1733697.5584140478</c:v>
                </c:pt>
                <c:pt idx="8">
                  <c:v>1806931.3512257454</c:v>
                </c:pt>
                <c:pt idx="9">
                  <c:v>1829449.7119588305</c:v>
                </c:pt>
                <c:pt idx="10">
                  <c:v>1860047.9649978301</c:v>
                </c:pt>
                <c:pt idx="11">
                  <c:v>1837867.104432778</c:v>
                </c:pt>
                <c:pt idx="12">
                  <c:v>1760510.7960305621</c:v>
                </c:pt>
                <c:pt idx="13">
                  <c:v>1625493.6595668283</c:v>
                </c:pt>
                <c:pt idx="14">
                  <c:v>2672973.6400209097</c:v>
                </c:pt>
                <c:pt idx="15">
                  <c:v>3330563.262969078</c:v>
                </c:pt>
                <c:pt idx="16">
                  <c:v>3947339.3887168537</c:v>
                </c:pt>
                <c:pt idx="17">
                  <c:v>4522088.9118021792</c:v>
                </c:pt>
                <c:pt idx="18">
                  <c:v>5056214.6317435047</c:v>
                </c:pt>
                <c:pt idx="19">
                  <c:v>5548406.2141860826</c:v>
                </c:pt>
                <c:pt idx="20">
                  <c:v>7128874.030202507</c:v>
                </c:pt>
                <c:pt idx="21">
                  <c:v>7128874.030202507</c:v>
                </c:pt>
                <c:pt idx="22">
                  <c:v>7128874.030202507</c:v>
                </c:pt>
                <c:pt idx="23">
                  <c:v>7128874.030202507</c:v>
                </c:pt>
                <c:pt idx="24">
                  <c:v>7128874.030202507</c:v>
                </c:pt>
                <c:pt idx="25">
                  <c:v>7128874.030202507</c:v>
                </c:pt>
                <c:pt idx="26">
                  <c:v>7128874.030202507</c:v>
                </c:pt>
                <c:pt idx="27">
                  <c:v>7128874.030202507</c:v>
                </c:pt>
                <c:pt idx="28">
                  <c:v>7128874.030202507</c:v>
                </c:pt>
                <c:pt idx="29">
                  <c:v>7128874.030202507</c:v>
                </c:pt>
                <c:pt idx="30">
                  <c:v>7128874.030202507</c:v>
                </c:pt>
              </c:numCache>
            </c:numRef>
          </c:val>
          <c:smooth val="0"/>
          <c:extLst>
            <c:ext xmlns:c16="http://schemas.microsoft.com/office/drawing/2014/chart" uri="{C3380CC4-5D6E-409C-BE32-E72D297353CC}">
              <c16:uniqueId val="{00000000-68F7-4B4A-94F0-A10C746ECFD2}"/>
            </c:ext>
          </c:extLst>
        </c:ser>
        <c:dLbls>
          <c:showLegendKey val="0"/>
          <c:showVal val="0"/>
          <c:showCatName val="0"/>
          <c:showSerName val="0"/>
          <c:showPercent val="0"/>
          <c:showBubbleSize val="0"/>
        </c:dLbls>
        <c:smooth val="0"/>
        <c:axId val="140757248"/>
        <c:axId val="107368832"/>
      </c:lineChart>
      <c:catAx>
        <c:axId val="140757248"/>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07368832"/>
        <c:crosses val="autoZero"/>
        <c:auto val="1"/>
        <c:lblAlgn val="ctr"/>
        <c:lblOffset val="100"/>
        <c:tickLblSkip val="5"/>
        <c:noMultiLvlLbl val="0"/>
      </c:catAx>
      <c:valAx>
        <c:axId val="107368832"/>
        <c:scaling>
          <c:orientation val="minMax"/>
        </c:scaling>
        <c:delete val="0"/>
        <c:axPos val="l"/>
        <c:title>
          <c:tx>
            <c:rich>
              <a:bodyPr rot="-5400000" vert="horz"/>
              <a:lstStyle/>
              <a:p>
                <a:pPr>
                  <a:defRPr sz="1100" b="1"/>
                </a:pPr>
                <a:r>
                  <a:rPr lang="en-US" sz="1100" b="1"/>
                  <a:t>Cumulative Cash Flow ($)</a:t>
                </a:r>
              </a:p>
            </c:rich>
          </c:tx>
          <c:overlay val="0"/>
        </c:title>
        <c:numFmt formatCode="&quot;$&quot;#,##0_);[Red]\(&quot;$&quot;#,##0\)" sourceLinked="1"/>
        <c:majorTickMark val="out"/>
        <c:minorTickMark val="none"/>
        <c:tickLblPos val="nextTo"/>
        <c:crossAx val="140757248"/>
        <c:crosses val="autoZero"/>
        <c:crossBetween val="between"/>
      </c:valAx>
      <c:spPr>
        <a:solidFill>
          <a:srgbClr val="FFFF99"/>
        </a:solidFill>
      </c:spPr>
    </c:plotArea>
    <c:plotVisOnly val="1"/>
    <c:dispBlanksAs val="gap"/>
    <c:showDLblsOverMax val="0"/>
  </c:chart>
  <c:spPr>
    <a:solidFill>
      <a:srgbClr val="FFFF99"/>
    </a:solidFill>
  </c:sp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 Tax Benefits / (Liability) v. </a:t>
            </a:r>
          </a:p>
          <a:p>
            <a:pPr>
              <a:defRPr/>
            </a:pPr>
            <a:r>
              <a:rPr lang="en-US"/>
              <a:t>Expenses + Cash Obligations</a:t>
            </a:r>
          </a:p>
        </c:rich>
      </c:tx>
      <c:overlay val="1"/>
    </c:title>
    <c:autoTitleDeleted val="0"/>
    <c:plotArea>
      <c:layout/>
      <c:areaChart>
        <c:grouping val="standard"/>
        <c:varyColors val="0"/>
        <c:ser>
          <c:idx val="1"/>
          <c:order val="1"/>
          <c:tx>
            <c:strRef>
              <c:f>'Annual Cash Flows &amp; Returns'!$S$4</c:f>
              <c:strCache>
                <c:ptCount val="1"/>
                <c:pt idx="0">
                  <c:v>Expenses + Cash Obligations</c:v>
                </c:pt>
              </c:strCache>
            </c:strRef>
          </c:tx>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Returns'!$S$6:$S$36</c:f>
              <c:numCache>
                <c:formatCode>"$"#,##0_);[Red]\("$"#,##0\)</c:formatCode>
                <c:ptCount val="31"/>
                <c:pt idx="1">
                  <c:v>2585684.3258249443</c:v>
                </c:pt>
                <c:pt idx="2">
                  <c:v>2636131.4408861687</c:v>
                </c:pt>
                <c:pt idx="3">
                  <c:v>2688213.1717662187</c:v>
                </c:pt>
                <c:pt idx="4">
                  <c:v>2741987.7484760666</c:v>
                </c:pt>
                <c:pt idx="5">
                  <c:v>2703241.0052216216</c:v>
                </c:pt>
                <c:pt idx="6">
                  <c:v>2756736.9351587831</c:v>
                </c:pt>
                <c:pt idx="7">
                  <c:v>2811956.9339995547</c:v>
                </c:pt>
                <c:pt idx="8">
                  <c:v>2868962.1831344515</c:v>
                </c:pt>
                <c:pt idx="9">
                  <c:v>2927816.1773782256</c:v>
                </c:pt>
                <c:pt idx="10">
                  <c:v>2885996.3388259462</c:v>
                </c:pt>
                <c:pt idx="11">
                  <c:v>2944560.7340379278</c:v>
                </c:pt>
                <c:pt idx="12">
                  <c:v>3005008.2555652498</c:v>
                </c:pt>
                <c:pt idx="13">
                  <c:v>3067405.6205632426</c:v>
                </c:pt>
                <c:pt idx="14">
                  <c:v>1887154.1186961541</c:v>
                </c:pt>
                <c:pt idx="15">
                  <c:v>2256915.2841304662</c:v>
                </c:pt>
                <c:pt idx="16">
                  <c:v>2321031.6305383286</c:v>
                </c:pt>
                <c:pt idx="17">
                  <c:v>2387204.9177815006</c:v>
                </c:pt>
                <c:pt idx="18">
                  <c:v>2455507.9015708603</c:v>
                </c:pt>
                <c:pt idx="19">
                  <c:v>2526016.083216975</c:v>
                </c:pt>
                <c:pt idx="20">
                  <c:v>1413261.7539224569</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64DD-DA47-95D8-11031A8778CC}"/>
            </c:ext>
          </c:extLst>
        </c:ser>
        <c:dLbls>
          <c:showLegendKey val="0"/>
          <c:showVal val="0"/>
          <c:showCatName val="0"/>
          <c:showSerName val="0"/>
          <c:showPercent val="0"/>
          <c:showBubbleSize val="0"/>
        </c:dLbls>
        <c:axId val="107381888"/>
        <c:axId val="107383808"/>
      </c:areaChart>
      <c:lineChart>
        <c:grouping val="standard"/>
        <c:varyColors val="0"/>
        <c:ser>
          <c:idx val="0"/>
          <c:order val="0"/>
          <c:tx>
            <c:strRef>
              <c:f>'Annual Cash Flows &amp; Returns'!$R$4</c:f>
              <c:strCache>
                <c:ptCount val="1"/>
                <c:pt idx="0">
                  <c:v>Revenue + Tax Benefit/(Liability)</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Returns'!$R$6:$R$36</c:f>
              <c:numCache>
                <c:formatCode>"$"#,##0_);[Red]\("$"#,##0\)</c:formatCode>
                <c:ptCount val="31"/>
                <c:pt idx="1">
                  <c:v>8932959.6581530776</c:v>
                </c:pt>
                <c:pt idx="2">
                  <c:v>4742924.7690652404</c:v>
                </c:pt>
                <c:pt idx="3">
                  <c:v>4026218.604406741</c:v>
                </c:pt>
                <c:pt idx="4">
                  <c:v>3600052.1994910445</c:v>
                </c:pt>
                <c:pt idx="5">
                  <c:v>3571407.0536399181</c:v>
                </c:pt>
                <c:pt idx="6">
                  <c:v>3252612.5947613046</c:v>
                </c:pt>
                <c:pt idx="7">
                  <c:v>2933974.2402300788</c:v>
                </c:pt>
                <c:pt idx="8">
                  <c:v>2942195.9759461489</c:v>
                </c:pt>
                <c:pt idx="9">
                  <c:v>2950334.5381113105</c:v>
                </c:pt>
                <c:pt idx="10">
                  <c:v>2916594.5918649458</c:v>
                </c:pt>
                <c:pt idx="11">
                  <c:v>2922379.8734728759</c:v>
                </c:pt>
                <c:pt idx="12">
                  <c:v>2927651.9471630338</c:v>
                </c:pt>
                <c:pt idx="13">
                  <c:v>2932388.4840995087</c:v>
                </c:pt>
                <c:pt idx="14">
                  <c:v>2934634.0991502358</c:v>
                </c:pt>
                <c:pt idx="15">
                  <c:v>2914504.9070786345</c:v>
                </c:pt>
                <c:pt idx="16">
                  <c:v>2937807.7562861047</c:v>
                </c:pt>
                <c:pt idx="17">
                  <c:v>2961954.4408668261</c:v>
                </c:pt>
                <c:pt idx="18">
                  <c:v>2989633.6215121862</c:v>
                </c:pt>
                <c:pt idx="19">
                  <c:v>3018207.6656595534</c:v>
                </c:pt>
                <c:pt idx="20">
                  <c:v>2993729.5699388813</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64DD-DA47-95D8-11031A8778CC}"/>
            </c:ext>
          </c:extLst>
        </c:ser>
        <c:dLbls>
          <c:showLegendKey val="0"/>
          <c:showVal val="0"/>
          <c:showCatName val="0"/>
          <c:showSerName val="0"/>
          <c:showPercent val="0"/>
          <c:showBubbleSize val="0"/>
        </c:dLbls>
        <c:marker val="1"/>
        <c:smooth val="0"/>
        <c:axId val="107381888"/>
        <c:axId val="107383808"/>
      </c:lineChart>
      <c:catAx>
        <c:axId val="107381888"/>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07383808"/>
        <c:crosses val="autoZero"/>
        <c:auto val="1"/>
        <c:lblAlgn val="ctr"/>
        <c:lblOffset val="100"/>
        <c:tickLblSkip val="5"/>
        <c:noMultiLvlLbl val="0"/>
      </c:catAx>
      <c:valAx>
        <c:axId val="107383808"/>
        <c:scaling>
          <c:orientation val="minMax"/>
        </c:scaling>
        <c:delete val="0"/>
        <c:axPos val="l"/>
        <c:title>
          <c:tx>
            <c:rich>
              <a:bodyPr rot="-5400000" vert="horz"/>
              <a:lstStyle/>
              <a:p>
                <a:pPr>
                  <a:defRPr sz="1100" b="1"/>
                </a:pPr>
                <a:r>
                  <a:rPr lang="en-US" sz="1100" b="1"/>
                  <a:t>( $)</a:t>
                </a:r>
              </a:p>
            </c:rich>
          </c:tx>
          <c:overlay val="0"/>
        </c:title>
        <c:numFmt formatCode="&quot;$&quot;#,##0" sourceLinked="0"/>
        <c:majorTickMark val="out"/>
        <c:minorTickMark val="none"/>
        <c:tickLblPos val="nextTo"/>
        <c:crossAx val="107381888"/>
        <c:crosses val="autoZero"/>
        <c:crossBetween val="between"/>
      </c:valAx>
      <c:spPr>
        <a:solidFill>
          <a:srgbClr val="FFFF99"/>
        </a:solidFill>
      </c:spPr>
    </c:plotArea>
    <c:legend>
      <c:legendPos val="r"/>
      <c:overlay val="1"/>
    </c:legend>
    <c:plotVisOnly val="1"/>
    <c:dispBlanksAs val="gap"/>
    <c:showDLblsOverMax val="0"/>
  </c:chart>
  <c:spPr>
    <a:solidFill>
      <a:srgbClr val="FFFF99"/>
    </a:solidFill>
  </c:sp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83341</xdr:colOff>
      <xdr:row>37</xdr:row>
      <xdr:rowOff>130969</xdr:rowOff>
    </xdr:from>
    <xdr:to>
      <xdr:col>8</xdr:col>
      <xdr:colOff>452437</xdr:colOff>
      <xdr:row>61</xdr:row>
      <xdr:rowOff>35719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535780</xdr:colOff>
      <xdr:row>37</xdr:row>
      <xdr:rowOff>154781</xdr:rowOff>
    </xdr:from>
    <xdr:to>
      <xdr:col>16</xdr:col>
      <xdr:colOff>23813</xdr:colOff>
      <xdr:row>61</xdr:row>
      <xdr:rowOff>71437</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dsireusa.org/incentives/index.cfm?state=us&amp;re=1&amp;EE=1" TargetMode="External"/><Relationship Id="rId7" Type="http://schemas.openxmlformats.org/officeDocument/2006/relationships/vmlDrawing" Target="../drawings/vmlDrawing1.vml"/><Relationship Id="rId2" Type="http://schemas.openxmlformats.org/officeDocument/2006/relationships/hyperlink" Target="http://dsireusa.org/incentives/incentive.cfm?Incentive_Code=US02F&amp;re=1&amp;ee=1" TargetMode="External"/><Relationship Id="rId1" Type="http://schemas.openxmlformats.org/officeDocument/2006/relationships/hyperlink" Target="http://dsireusa.org/" TargetMode="External"/><Relationship Id="rId6" Type="http://schemas.openxmlformats.org/officeDocument/2006/relationships/printerSettings" Target="../printerSettings/printerSettings1.bin"/><Relationship Id="rId5" Type="http://schemas.openxmlformats.org/officeDocument/2006/relationships/hyperlink" Target="http://financere.nrel.gov/finance/content/crest-model" TargetMode="External"/><Relationship Id="rId4" Type="http://schemas.openxmlformats.org/officeDocument/2006/relationships/hyperlink" Target="http://financere.nrel.gov/finance/content/crest-mode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43"/>
  <sheetViews>
    <sheetView showGridLines="0" tabSelected="1" zoomScale="90" zoomScaleNormal="90" workbookViewId="0">
      <pane ySplit="4" topLeftCell="A5" activePane="bottomLeft" state="frozen"/>
      <selection pane="bottomLeft" activeCell="C5" sqref="C5"/>
    </sheetView>
  </sheetViews>
  <sheetFormatPr baseColWidth="10" defaultColWidth="9.1640625" defaultRowHeight="16"/>
  <cols>
    <col min="1" max="1" width="2.6640625" style="156" customWidth="1"/>
    <col min="2" max="2" width="26.6640625" style="156" customWidth="1"/>
    <col min="3" max="3" width="140.1640625" style="156" customWidth="1"/>
    <col min="4" max="4" width="16.83203125" style="156" customWidth="1"/>
    <col min="5" max="12" width="9.1640625" style="156"/>
    <col min="13" max="14" width="9.5" style="156" customWidth="1"/>
    <col min="15" max="15" width="5.33203125" style="156" customWidth="1"/>
    <col min="16" max="16384" width="9.1640625" style="156"/>
  </cols>
  <sheetData>
    <row r="1" spans="2:18" ht="9" customHeight="1" thickBot="1"/>
    <row r="2" spans="2:18" ht="30" customHeight="1">
      <c r="B2" s="224" t="s">
        <v>175</v>
      </c>
      <c r="C2" s="225" t="s">
        <v>324</v>
      </c>
      <c r="D2" s="226"/>
      <c r="E2" s="151"/>
      <c r="F2" s="151"/>
      <c r="G2" s="151"/>
      <c r="H2" s="151"/>
      <c r="I2" s="151"/>
      <c r="J2" s="151"/>
      <c r="K2" s="151"/>
      <c r="L2" s="151"/>
      <c r="M2" s="151"/>
      <c r="N2" s="151"/>
      <c r="P2" s="149"/>
      <c r="Q2" s="150"/>
      <c r="R2" s="150"/>
    </row>
    <row r="3" spans="2:18" ht="30" customHeight="1">
      <c r="B3" s="311" t="s">
        <v>193</v>
      </c>
      <c r="C3" s="312" t="s">
        <v>484</v>
      </c>
      <c r="D3" s="313"/>
      <c r="E3" s="151"/>
      <c r="F3" s="151"/>
      <c r="G3" s="151"/>
      <c r="H3" s="151"/>
      <c r="I3" s="151"/>
      <c r="J3" s="151"/>
      <c r="K3" s="151"/>
      <c r="L3" s="151"/>
      <c r="M3" s="151"/>
      <c r="N3" s="151"/>
      <c r="P3" s="149"/>
      <c r="Q3" s="150"/>
      <c r="R3" s="150"/>
    </row>
    <row r="4" spans="2:18" ht="60" customHeight="1" thickBot="1">
      <c r="B4" s="774" t="s">
        <v>483</v>
      </c>
      <c r="C4" s="775" t="s">
        <v>482</v>
      </c>
      <c r="D4" s="313"/>
      <c r="E4" s="151"/>
      <c r="F4" s="151"/>
      <c r="G4" s="151"/>
      <c r="H4" s="151"/>
      <c r="I4" s="151"/>
      <c r="J4" s="151"/>
      <c r="K4" s="151"/>
      <c r="L4" s="151"/>
      <c r="M4" s="151"/>
      <c r="N4" s="151"/>
      <c r="P4" s="149"/>
      <c r="Q4" s="150"/>
      <c r="R4" s="150"/>
    </row>
    <row r="5" spans="2:18" ht="30" customHeight="1">
      <c r="B5" s="685" t="s">
        <v>388</v>
      </c>
      <c r="C5" s="686" t="s">
        <v>389</v>
      </c>
      <c r="D5" s="228"/>
      <c r="E5" s="151"/>
      <c r="F5" s="151"/>
      <c r="G5" s="151"/>
      <c r="H5" s="151"/>
      <c r="I5" s="151"/>
      <c r="J5" s="151"/>
      <c r="K5" s="151"/>
      <c r="L5" s="151"/>
      <c r="M5" s="151"/>
      <c r="N5" s="151"/>
      <c r="P5" s="150"/>
      <c r="Q5" s="150"/>
      <c r="R5" s="150"/>
    </row>
    <row r="6" spans="2:18" ht="60" customHeight="1">
      <c r="B6" s="518" t="s">
        <v>390</v>
      </c>
      <c r="C6" s="232" t="s">
        <v>391</v>
      </c>
      <c r="D6" s="228"/>
      <c r="E6" s="151"/>
      <c r="F6" s="151"/>
      <c r="G6" s="151"/>
      <c r="H6" s="151"/>
      <c r="I6" s="151"/>
      <c r="J6" s="151"/>
      <c r="K6" s="151"/>
      <c r="L6" s="151"/>
      <c r="M6" s="151"/>
      <c r="N6" s="151"/>
      <c r="P6" s="150"/>
      <c r="Q6" s="150"/>
      <c r="R6" s="150"/>
    </row>
    <row r="7" spans="2:18" ht="60" customHeight="1">
      <c r="B7" s="518" t="s">
        <v>392</v>
      </c>
      <c r="C7" s="232" t="s">
        <v>393</v>
      </c>
      <c r="D7" s="228"/>
      <c r="E7" s="151"/>
      <c r="F7" s="151"/>
      <c r="G7" s="151"/>
      <c r="H7" s="151"/>
      <c r="I7" s="151"/>
      <c r="J7" s="151"/>
      <c r="K7" s="151"/>
      <c r="L7" s="151"/>
      <c r="M7" s="151"/>
      <c r="N7" s="151"/>
      <c r="P7" s="150"/>
      <c r="Q7" s="150"/>
      <c r="R7" s="150"/>
    </row>
    <row r="8" spans="2:18">
      <c r="B8" s="227"/>
      <c r="C8" s="229"/>
      <c r="D8" s="230"/>
      <c r="E8" s="152"/>
      <c r="F8" s="152"/>
      <c r="G8" s="152"/>
      <c r="H8" s="152"/>
      <c r="I8" s="152"/>
      <c r="J8" s="152"/>
      <c r="K8" s="152"/>
      <c r="L8" s="152"/>
      <c r="M8" s="152"/>
      <c r="N8" s="152"/>
      <c r="P8" s="150"/>
      <c r="Q8" s="150"/>
      <c r="R8" s="150"/>
    </row>
    <row r="9" spans="2:18" ht="102">
      <c r="B9" s="231" t="s">
        <v>176</v>
      </c>
      <c r="C9" s="232" t="s">
        <v>386</v>
      </c>
      <c r="D9" s="233"/>
      <c r="E9" s="153"/>
      <c r="F9" s="153"/>
      <c r="G9" s="153"/>
      <c r="H9" s="153"/>
      <c r="I9" s="153"/>
      <c r="J9" s="153"/>
      <c r="K9" s="153"/>
      <c r="L9" s="153"/>
      <c r="M9" s="153"/>
      <c r="N9" s="153"/>
      <c r="P9" s="149"/>
      <c r="Q9" s="150"/>
      <c r="R9" s="150"/>
    </row>
    <row r="10" spans="2:18" ht="17">
      <c r="B10" s="231"/>
      <c r="C10" s="683" t="s">
        <v>374</v>
      </c>
      <c r="D10" s="233"/>
      <c r="E10" s="153"/>
      <c r="F10" s="153"/>
      <c r="G10" s="153"/>
      <c r="H10" s="153"/>
      <c r="I10" s="153"/>
      <c r="J10" s="153"/>
      <c r="K10" s="153"/>
      <c r="L10" s="153"/>
      <c r="M10" s="153"/>
      <c r="N10" s="153"/>
      <c r="P10" s="149"/>
      <c r="Q10" s="150"/>
      <c r="R10" s="150"/>
    </row>
    <row r="11" spans="2:18">
      <c r="B11" s="231"/>
      <c r="C11" s="232"/>
      <c r="D11" s="233"/>
      <c r="E11" s="153"/>
      <c r="F11" s="153"/>
      <c r="G11" s="153"/>
      <c r="H11" s="153"/>
      <c r="I11" s="153"/>
      <c r="J11" s="153"/>
      <c r="K11" s="153"/>
      <c r="L11" s="153"/>
      <c r="M11" s="153"/>
      <c r="N11" s="153"/>
      <c r="P11" s="149"/>
      <c r="Q11" s="150"/>
      <c r="R11" s="150"/>
    </row>
    <row r="12" spans="2:18" ht="64.5" customHeight="1">
      <c r="B12" s="237" t="s">
        <v>338</v>
      </c>
      <c r="C12" s="232" t="s">
        <v>376</v>
      </c>
      <c r="D12" s="233"/>
      <c r="E12" s="153"/>
      <c r="F12" s="153"/>
      <c r="G12" s="153"/>
      <c r="H12" s="153"/>
      <c r="I12" s="153"/>
      <c r="J12" s="153"/>
      <c r="K12" s="153"/>
      <c r="L12" s="153"/>
      <c r="M12" s="153"/>
      <c r="N12" s="153"/>
      <c r="P12" s="149"/>
      <c r="Q12" s="150"/>
      <c r="R12" s="150"/>
    </row>
    <row r="13" spans="2:18" ht="17">
      <c r="B13" s="237"/>
      <c r="C13" s="683" t="s">
        <v>374</v>
      </c>
      <c r="D13" s="233"/>
      <c r="E13" s="153"/>
      <c r="F13" s="153"/>
      <c r="G13" s="153"/>
      <c r="H13" s="153"/>
      <c r="I13" s="153"/>
      <c r="J13" s="153"/>
      <c r="K13" s="153"/>
      <c r="L13" s="153"/>
      <c r="M13" s="153"/>
      <c r="N13" s="153"/>
      <c r="P13" s="149"/>
      <c r="Q13" s="150"/>
      <c r="R13" s="150"/>
    </row>
    <row r="14" spans="2:18" ht="17">
      <c r="B14" s="237"/>
      <c r="C14" s="232" t="s">
        <v>375</v>
      </c>
      <c r="D14" s="233"/>
      <c r="E14" s="153"/>
      <c r="F14" s="153"/>
      <c r="G14" s="153"/>
      <c r="H14" s="153"/>
      <c r="I14" s="153"/>
      <c r="J14" s="153"/>
      <c r="K14" s="153"/>
      <c r="L14" s="153"/>
      <c r="M14" s="153"/>
      <c r="N14" s="153"/>
      <c r="P14" s="149"/>
      <c r="Q14" s="150"/>
      <c r="R14" s="150"/>
    </row>
    <row r="15" spans="2:18">
      <c r="B15" s="234"/>
      <c r="C15" s="235"/>
      <c r="D15" s="236"/>
      <c r="E15" s="154"/>
      <c r="F15" s="154"/>
      <c r="G15" s="154"/>
      <c r="H15" s="154"/>
      <c r="I15" s="154"/>
      <c r="J15" s="154"/>
      <c r="K15" s="154"/>
      <c r="L15" s="154"/>
      <c r="M15" s="154"/>
      <c r="N15" s="154"/>
      <c r="P15" s="150"/>
      <c r="Q15" s="150"/>
      <c r="R15" s="150"/>
    </row>
    <row r="16" spans="2:18" ht="102">
      <c r="B16" s="237" t="s">
        <v>185</v>
      </c>
      <c r="C16" s="310" t="s">
        <v>362</v>
      </c>
      <c r="D16" s="239"/>
      <c r="E16" s="155"/>
      <c r="F16" s="155"/>
      <c r="G16" s="155"/>
      <c r="H16" s="155"/>
      <c r="I16" s="155"/>
      <c r="J16" s="155"/>
      <c r="K16" s="155"/>
      <c r="L16" s="155"/>
      <c r="M16" s="155"/>
      <c r="N16" s="155"/>
      <c r="P16" s="150"/>
      <c r="Q16" s="150"/>
      <c r="R16" s="150"/>
    </row>
    <row r="17" spans="2:18" ht="17">
      <c r="B17" s="237"/>
      <c r="C17" s="238"/>
      <c r="D17" s="519" t="s">
        <v>339</v>
      </c>
      <c r="E17" s="155"/>
      <c r="F17" s="155"/>
      <c r="G17" s="155"/>
      <c r="H17" s="155"/>
      <c r="I17" s="155"/>
      <c r="J17" s="155"/>
      <c r="K17" s="155"/>
      <c r="L17" s="155"/>
      <c r="M17" s="155"/>
      <c r="N17" s="155"/>
      <c r="P17" s="150"/>
      <c r="Q17" s="150"/>
      <c r="R17" s="150"/>
    </row>
    <row r="18" spans="2:18" ht="34">
      <c r="B18" s="237" t="s">
        <v>194</v>
      </c>
      <c r="C18" s="232" t="s">
        <v>310</v>
      </c>
      <c r="D18" s="668" t="s">
        <v>340</v>
      </c>
      <c r="E18" s="155"/>
      <c r="F18" s="155"/>
      <c r="G18" s="155"/>
      <c r="H18" s="155"/>
      <c r="I18" s="155"/>
      <c r="J18" s="155"/>
      <c r="K18" s="155"/>
      <c r="L18" s="155"/>
      <c r="M18" s="155"/>
      <c r="N18" s="155"/>
      <c r="P18" s="150"/>
      <c r="Q18" s="150"/>
      <c r="R18" s="150"/>
    </row>
    <row r="19" spans="2:18" ht="30" customHeight="1">
      <c r="B19" s="237"/>
      <c r="C19" s="314" t="s">
        <v>186</v>
      </c>
      <c r="D19" s="520" t="s">
        <v>341</v>
      </c>
      <c r="E19" s="154"/>
      <c r="F19" s="154"/>
      <c r="G19" s="154"/>
      <c r="H19" s="154"/>
      <c r="I19" s="154"/>
      <c r="J19" s="154"/>
      <c r="K19" s="154"/>
      <c r="L19" s="154"/>
      <c r="M19" s="154"/>
      <c r="N19" s="154"/>
      <c r="P19" s="150"/>
      <c r="Q19" s="150"/>
      <c r="R19" s="150"/>
    </row>
    <row r="20" spans="2:18" ht="30" customHeight="1">
      <c r="B20" s="237"/>
      <c r="C20" s="315" t="s">
        <v>195</v>
      </c>
      <c r="D20" s="521"/>
      <c r="E20" s="155"/>
      <c r="F20" s="155"/>
      <c r="G20" s="155"/>
      <c r="H20" s="155"/>
      <c r="I20" s="155"/>
      <c r="J20" s="155"/>
      <c r="K20" s="155"/>
      <c r="L20" s="155"/>
      <c r="M20" s="155"/>
      <c r="N20" s="155"/>
      <c r="P20" s="149"/>
      <c r="Q20" s="150"/>
      <c r="R20" s="150"/>
    </row>
    <row r="21" spans="2:18" ht="30" customHeight="1">
      <c r="B21" s="237"/>
      <c r="C21" s="315" t="s">
        <v>311</v>
      </c>
      <c r="D21" s="522"/>
      <c r="E21" s="157"/>
      <c r="F21" s="157"/>
      <c r="G21" s="157"/>
      <c r="H21" s="157"/>
      <c r="I21" s="157"/>
      <c r="J21" s="157"/>
      <c r="K21" s="157"/>
      <c r="L21" s="157"/>
      <c r="M21" s="157"/>
      <c r="N21" s="157"/>
      <c r="P21" s="150"/>
      <c r="Q21" s="150"/>
      <c r="R21" s="150"/>
    </row>
    <row r="22" spans="2:18" ht="30" customHeight="1">
      <c r="B22" s="237"/>
      <c r="C22" s="314" t="s">
        <v>312</v>
      </c>
      <c r="D22" s="523" t="s">
        <v>342</v>
      </c>
      <c r="E22" s="158"/>
      <c r="F22" s="158"/>
      <c r="G22" s="158"/>
      <c r="H22" s="158"/>
      <c r="I22" s="158"/>
      <c r="J22" s="158"/>
      <c r="K22" s="158"/>
      <c r="L22" s="158"/>
      <c r="M22" s="158"/>
      <c r="N22" s="158"/>
    </row>
    <row r="23" spans="2:18" ht="51">
      <c r="B23" s="237"/>
      <c r="C23" s="315" t="s">
        <v>313</v>
      </c>
      <c r="D23" s="524" t="s">
        <v>7</v>
      </c>
      <c r="E23" s="157"/>
      <c r="F23" s="157"/>
      <c r="G23" s="157"/>
      <c r="H23" s="157"/>
      <c r="I23" s="157"/>
      <c r="J23" s="157"/>
      <c r="K23" s="157"/>
      <c r="L23" s="157"/>
      <c r="M23" s="157"/>
      <c r="N23" s="157"/>
    </row>
    <row r="24" spans="2:18" ht="15" customHeight="1">
      <c r="B24" s="237"/>
      <c r="C24" s="240"/>
      <c r="D24" s="239"/>
      <c r="E24" s="157"/>
      <c r="F24" s="157"/>
      <c r="G24" s="157"/>
      <c r="H24" s="157"/>
      <c r="I24" s="157"/>
      <c r="J24" s="157"/>
      <c r="K24" s="157"/>
      <c r="L24" s="157"/>
      <c r="M24" s="157"/>
      <c r="N24" s="157"/>
    </row>
    <row r="25" spans="2:18" ht="153">
      <c r="B25" s="237" t="s">
        <v>260</v>
      </c>
      <c r="C25" s="238" t="s">
        <v>343</v>
      </c>
      <c r="D25" s="239"/>
      <c r="E25" s="155"/>
      <c r="F25" s="155"/>
      <c r="G25" s="155"/>
      <c r="H25" s="155"/>
      <c r="I25" s="155"/>
      <c r="J25" s="155"/>
      <c r="K25" s="155"/>
      <c r="L25" s="155"/>
      <c r="M25" s="155"/>
      <c r="N25" s="155"/>
    </row>
    <row r="26" spans="2:18">
      <c r="B26" s="237"/>
      <c r="C26" s="238"/>
      <c r="D26" s="239"/>
      <c r="E26" s="155"/>
      <c r="F26" s="155"/>
      <c r="G26" s="155"/>
      <c r="H26" s="155"/>
      <c r="I26" s="155"/>
      <c r="J26" s="155"/>
      <c r="K26" s="155"/>
      <c r="L26" s="155"/>
      <c r="M26" s="155"/>
      <c r="N26" s="155"/>
    </row>
    <row r="27" spans="2:18" ht="85">
      <c r="B27" s="237" t="s">
        <v>261</v>
      </c>
      <c r="C27" s="310" t="s">
        <v>314</v>
      </c>
      <c r="D27" s="241"/>
      <c r="E27" s="159"/>
      <c r="F27" s="159"/>
      <c r="G27" s="159"/>
      <c r="H27" s="159"/>
      <c r="I27" s="159"/>
      <c r="J27" s="159"/>
      <c r="K27" s="159"/>
      <c r="L27" s="159"/>
      <c r="M27" s="159"/>
      <c r="N27" s="159"/>
    </row>
    <row r="28" spans="2:18">
      <c r="B28" s="237"/>
      <c r="C28" s="310"/>
      <c r="D28" s="241"/>
      <c r="E28" s="159"/>
      <c r="F28" s="159"/>
      <c r="G28" s="159"/>
      <c r="H28" s="159"/>
      <c r="I28" s="159"/>
      <c r="J28" s="159"/>
      <c r="K28" s="159"/>
      <c r="L28" s="159"/>
      <c r="M28" s="159"/>
      <c r="N28" s="159"/>
    </row>
    <row r="29" spans="2:18" ht="34">
      <c r="B29" s="670" t="s">
        <v>366</v>
      </c>
      <c r="C29" s="315" t="s">
        <v>367</v>
      </c>
      <c r="D29" s="241"/>
      <c r="E29" s="159"/>
      <c r="F29" s="159"/>
      <c r="G29" s="159"/>
      <c r="H29" s="159"/>
      <c r="I29" s="159"/>
      <c r="J29" s="159"/>
      <c r="K29" s="159"/>
      <c r="L29" s="159"/>
      <c r="M29" s="159"/>
      <c r="N29" s="159"/>
    </row>
    <row r="30" spans="2:18">
      <c r="B30" s="234" t="s">
        <v>368</v>
      </c>
      <c r="C30" s="671" t="s">
        <v>363</v>
      </c>
      <c r="D30" s="241"/>
      <c r="E30" s="159"/>
      <c r="F30" s="159"/>
      <c r="G30" s="159"/>
      <c r="H30" s="159"/>
      <c r="I30" s="159"/>
      <c r="J30" s="159"/>
      <c r="K30" s="159"/>
      <c r="L30" s="159"/>
      <c r="M30" s="159"/>
      <c r="N30" s="159"/>
    </row>
    <row r="31" spans="2:18">
      <c r="B31" s="234" t="s">
        <v>369</v>
      </c>
      <c r="C31" s="671" t="s">
        <v>364</v>
      </c>
      <c r="D31" s="241"/>
      <c r="E31" s="159"/>
      <c r="F31" s="159"/>
      <c r="G31" s="159"/>
      <c r="H31" s="159"/>
      <c r="I31" s="159"/>
      <c r="J31" s="159"/>
      <c r="K31" s="159"/>
      <c r="L31" s="159"/>
      <c r="M31" s="159"/>
      <c r="N31" s="159"/>
    </row>
    <row r="32" spans="2:18">
      <c r="B32" s="234" t="s">
        <v>370</v>
      </c>
      <c r="C32" s="671" t="s">
        <v>365</v>
      </c>
      <c r="D32" s="241"/>
      <c r="E32" s="159"/>
      <c r="F32" s="159"/>
      <c r="G32" s="159"/>
      <c r="H32" s="159"/>
      <c r="I32" s="159"/>
      <c r="J32" s="159"/>
      <c r="K32" s="159"/>
      <c r="L32" s="159"/>
      <c r="M32" s="159"/>
      <c r="N32" s="159"/>
    </row>
    <row r="33" spans="2:14">
      <c r="B33" s="237"/>
      <c r="C33" s="310"/>
      <c r="D33" s="241"/>
      <c r="E33" s="159"/>
      <c r="F33" s="159"/>
      <c r="G33" s="159"/>
      <c r="H33" s="159"/>
      <c r="I33" s="159"/>
      <c r="J33" s="159"/>
      <c r="K33" s="159"/>
      <c r="L33" s="159"/>
      <c r="M33" s="159"/>
      <c r="N33" s="159"/>
    </row>
    <row r="34" spans="2:14" ht="68">
      <c r="B34" s="237" t="s">
        <v>420</v>
      </c>
      <c r="C34" s="238" t="s">
        <v>385</v>
      </c>
      <c r="D34" s="241"/>
      <c r="E34" s="159"/>
      <c r="F34" s="159"/>
      <c r="G34" s="159"/>
      <c r="H34" s="159"/>
      <c r="I34" s="159"/>
      <c r="J34" s="159"/>
      <c r="K34" s="159"/>
      <c r="L34" s="159"/>
      <c r="M34" s="159"/>
      <c r="N34" s="159"/>
    </row>
    <row r="35" spans="2:14" ht="17">
      <c r="B35" s="237"/>
      <c r="C35" s="684" t="s">
        <v>377</v>
      </c>
      <c r="D35" s="241"/>
      <c r="E35" s="159"/>
      <c r="F35" s="159"/>
      <c r="G35" s="159"/>
      <c r="H35" s="159"/>
      <c r="I35" s="159"/>
      <c r="J35" s="159"/>
      <c r="K35" s="159"/>
      <c r="L35" s="159"/>
      <c r="M35" s="159"/>
      <c r="N35" s="159"/>
    </row>
    <row r="36" spans="2:14" ht="17">
      <c r="B36" s="237"/>
      <c r="C36" s="684" t="s">
        <v>378</v>
      </c>
      <c r="D36" s="241"/>
      <c r="E36" s="159"/>
      <c r="F36" s="159"/>
      <c r="G36" s="159"/>
      <c r="H36" s="159"/>
      <c r="I36" s="159"/>
      <c r="J36" s="159"/>
      <c r="K36" s="159"/>
      <c r="L36" s="159"/>
      <c r="M36" s="159"/>
      <c r="N36" s="159"/>
    </row>
    <row r="37" spans="2:14" ht="17">
      <c r="B37" s="237"/>
      <c r="C37" s="684" t="s">
        <v>379</v>
      </c>
      <c r="D37" s="241"/>
      <c r="E37" s="159"/>
      <c r="F37" s="159"/>
      <c r="G37" s="159"/>
      <c r="H37" s="159"/>
      <c r="I37" s="159"/>
      <c r="J37" s="159"/>
      <c r="K37" s="159"/>
      <c r="L37" s="159"/>
      <c r="M37" s="159"/>
      <c r="N37" s="159"/>
    </row>
    <row r="38" spans="2:14" ht="17">
      <c r="B38" s="237"/>
      <c r="C38" s="684" t="s">
        <v>380</v>
      </c>
      <c r="D38" s="241"/>
      <c r="E38" s="159"/>
      <c r="F38" s="159"/>
      <c r="G38" s="159"/>
      <c r="H38" s="159"/>
      <c r="I38" s="159"/>
      <c r="J38" s="159"/>
      <c r="K38" s="159"/>
      <c r="L38" s="159"/>
      <c r="M38" s="159"/>
      <c r="N38" s="159"/>
    </row>
    <row r="39" spans="2:14" ht="17">
      <c r="B39" s="237"/>
      <c r="C39" s="684" t="s">
        <v>381</v>
      </c>
      <c r="D39" s="241"/>
      <c r="E39" s="159"/>
      <c r="F39" s="159"/>
      <c r="G39" s="159"/>
      <c r="H39" s="159"/>
      <c r="I39" s="159"/>
      <c r="J39" s="159"/>
      <c r="K39" s="159"/>
      <c r="L39" s="159"/>
      <c r="M39" s="159"/>
      <c r="N39" s="159"/>
    </row>
    <row r="40" spans="2:14" ht="17">
      <c r="B40" s="237"/>
      <c r="C40" s="684" t="s">
        <v>382</v>
      </c>
      <c r="D40" s="241"/>
      <c r="E40" s="159"/>
      <c r="F40" s="159"/>
      <c r="G40" s="159"/>
      <c r="H40" s="159"/>
      <c r="I40" s="159"/>
      <c r="J40" s="159"/>
      <c r="K40" s="159"/>
      <c r="L40" s="159"/>
      <c r="M40" s="159"/>
      <c r="N40" s="159"/>
    </row>
    <row r="41" spans="2:14" ht="17">
      <c r="B41" s="237"/>
      <c r="C41" s="684" t="s">
        <v>383</v>
      </c>
      <c r="D41" s="241"/>
      <c r="E41" s="159"/>
      <c r="F41" s="159"/>
      <c r="G41" s="159"/>
      <c r="H41" s="159"/>
      <c r="I41" s="159"/>
      <c r="J41" s="159"/>
      <c r="K41" s="159"/>
      <c r="L41" s="159"/>
      <c r="M41" s="159"/>
      <c r="N41" s="159"/>
    </row>
    <row r="42" spans="2:14" ht="17">
      <c r="B42" s="237"/>
      <c r="C42" s="684" t="s">
        <v>384</v>
      </c>
      <c r="D42" s="241"/>
      <c r="E42" s="159"/>
      <c r="F42" s="159"/>
      <c r="G42" s="159"/>
      <c r="H42" s="159"/>
      <c r="I42" s="159"/>
      <c r="J42" s="159"/>
      <c r="K42" s="159"/>
      <c r="L42" s="159"/>
      <c r="M42" s="159"/>
      <c r="N42" s="159"/>
    </row>
    <row r="43" spans="2:14" ht="17" thickBot="1">
      <c r="B43" s="242"/>
      <c r="C43" s="243"/>
      <c r="D43" s="244"/>
      <c r="E43" s="154"/>
      <c r="F43" s="154"/>
      <c r="G43" s="154"/>
      <c r="H43" s="154"/>
      <c r="I43" s="154"/>
      <c r="J43" s="154"/>
      <c r="K43" s="154"/>
      <c r="L43" s="154"/>
      <c r="M43" s="154"/>
      <c r="N43" s="154"/>
    </row>
  </sheetData>
  <sheetProtection password="EDDA" sheet="1" objects="1" scenarios="1"/>
  <hyperlinks>
    <hyperlink ref="C30" r:id="rId1" xr:uid="{00000000-0004-0000-0000-000000000000}"/>
    <hyperlink ref="C31" r:id="rId2" xr:uid="{00000000-0004-0000-0000-000001000000}"/>
    <hyperlink ref="C32" r:id="rId3" xr:uid="{00000000-0004-0000-0000-000002000000}"/>
    <hyperlink ref="C10" r:id="rId4" xr:uid="{00000000-0004-0000-0000-000003000000}"/>
    <hyperlink ref="C13" r:id="rId5" xr:uid="{00000000-0004-0000-0000-000004000000}"/>
  </hyperlinks>
  <pageMargins left="0.7" right="0.7" top="0.75" bottom="0.75" header="0.3" footer="0.3"/>
  <pageSetup scale="54" orientation="portrait" horizontalDpi="4294967293" verticalDpi="0"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113"/>
  <sheetViews>
    <sheetView showGridLines="0" zoomScale="70" zoomScaleNormal="70" workbookViewId="0">
      <pane ySplit="4" topLeftCell="A5" activePane="bottomLeft" state="frozen"/>
      <selection pane="bottomLeft" activeCell="V73" sqref="V73"/>
    </sheetView>
  </sheetViews>
  <sheetFormatPr baseColWidth="10" defaultColWidth="9.1640625" defaultRowHeight="16"/>
  <cols>
    <col min="1" max="1" width="1.6640625" style="1" customWidth="1"/>
    <col min="2" max="2" width="1" style="1" customWidth="1"/>
    <col min="3" max="3" width="7.6640625" style="1" customWidth="1"/>
    <col min="4" max="4" width="1" style="1" customWidth="1"/>
    <col min="5" max="5" width="54" style="1" customWidth="1"/>
    <col min="6" max="6" width="18.5" style="1" customWidth="1"/>
    <col min="7" max="7" width="19.1640625" style="1" bestFit="1" customWidth="1"/>
    <col min="8" max="8" width="0.83203125" style="1" customWidth="1"/>
    <col min="9" max="9" width="6.6640625" style="1" customWidth="1"/>
    <col min="10" max="11" width="1.83203125" style="1" customWidth="1"/>
    <col min="12" max="12" width="1.1640625" style="1" customWidth="1"/>
    <col min="13" max="13" width="7.6640625" style="1" customWidth="1"/>
    <col min="14" max="14" width="1" style="1" customWidth="1"/>
    <col min="15" max="15" width="55.5" style="1" customWidth="1"/>
    <col min="16" max="16" width="19" style="1" customWidth="1"/>
    <col min="17" max="17" width="24.33203125" style="1" customWidth="1"/>
    <col min="18" max="18" width="0.83203125" style="1" customWidth="1"/>
    <col min="19" max="19" width="6.83203125" style="1" customWidth="1"/>
    <col min="20" max="20" width="11.1640625" style="1" customWidth="1"/>
    <col min="21" max="26" width="19.1640625" style="1" customWidth="1"/>
    <col min="27" max="27" width="0.83203125" style="1" customWidth="1"/>
    <col min="28" max="16384" width="9.1640625" style="1"/>
  </cols>
  <sheetData>
    <row r="1" spans="2:28" ht="7.5" customHeight="1" thickBot="1">
      <c r="B1" s="91"/>
    </row>
    <row r="2" spans="2:28" s="331" customFormat="1" ht="30" customHeight="1" thickBot="1">
      <c r="B2" s="500"/>
      <c r="C2" s="789" t="s">
        <v>236</v>
      </c>
      <c r="D2" s="789"/>
      <c r="E2" s="789"/>
      <c r="F2" s="789"/>
      <c r="G2" s="789"/>
      <c r="H2" s="789"/>
      <c r="I2" s="789"/>
      <c r="J2" s="789"/>
      <c r="K2" s="789"/>
      <c r="L2" s="790"/>
      <c r="M2" s="790"/>
      <c r="N2" s="790"/>
      <c r="O2" s="790"/>
      <c r="P2" s="790"/>
      <c r="Q2" s="790"/>
      <c r="R2" s="790"/>
      <c r="S2" s="790"/>
      <c r="T2" s="790"/>
      <c r="U2" s="411"/>
      <c r="V2" s="412"/>
      <c r="W2" s="412"/>
      <c r="X2" s="412"/>
      <c r="Y2" s="412"/>
      <c r="Z2" s="412"/>
      <c r="AA2" s="412"/>
      <c r="AB2" s="413"/>
    </row>
    <row r="3" spans="2:28" ht="7.5" customHeight="1">
      <c r="B3" s="11"/>
      <c r="C3" s="348"/>
      <c r="D3" s="348"/>
      <c r="E3" s="348"/>
      <c r="F3" s="348"/>
      <c r="G3" s="348"/>
      <c r="H3" s="348"/>
      <c r="I3" s="348"/>
      <c r="J3" s="348"/>
      <c r="K3" s="347"/>
      <c r="L3" s="347"/>
      <c r="M3" s="348"/>
      <c r="N3" s="348"/>
      <c r="O3" s="348"/>
      <c r="P3" s="348"/>
      <c r="Q3" s="348"/>
      <c r="R3" s="348"/>
      <c r="S3" s="348"/>
      <c r="T3" s="348"/>
      <c r="U3" s="348"/>
      <c r="V3" s="349"/>
      <c r="W3" s="349"/>
      <c r="X3" s="349"/>
      <c r="Y3" s="349"/>
      <c r="Z3" s="349"/>
      <c r="AA3" s="349"/>
      <c r="AB3" s="378"/>
    </row>
    <row r="4" spans="2:28" ht="19" thickBot="1">
      <c r="B4" s="11"/>
      <c r="C4" s="488" t="s">
        <v>18</v>
      </c>
      <c r="D4" s="16"/>
      <c r="F4" s="17"/>
      <c r="H4" s="477"/>
      <c r="I4" s="501" t="s">
        <v>17</v>
      </c>
      <c r="K4" s="379"/>
      <c r="L4" s="379"/>
      <c r="M4" s="488" t="s">
        <v>18</v>
      </c>
      <c r="N4" s="17"/>
      <c r="O4" s="800" t="s">
        <v>13</v>
      </c>
      <c r="P4" s="800"/>
      <c r="Q4" s="507"/>
      <c r="R4" s="17"/>
      <c r="S4" s="488" t="s">
        <v>17</v>
      </c>
      <c r="T4" s="478"/>
      <c r="U4" s="16"/>
      <c r="AB4" s="330"/>
    </row>
    <row r="5" spans="2:28" ht="19" thickBot="1">
      <c r="B5" s="502"/>
      <c r="C5" s="349"/>
      <c r="D5" s="349"/>
      <c r="E5" s="23"/>
      <c r="F5" s="18"/>
      <c r="G5" s="22"/>
      <c r="H5" s="503"/>
      <c r="I5" s="504"/>
      <c r="J5" s="505"/>
      <c r="K5" s="17"/>
      <c r="L5" s="502"/>
      <c r="M5" s="349"/>
      <c r="N5" s="349"/>
      <c r="O5" s="349"/>
      <c r="P5" s="349"/>
      <c r="Q5" s="349"/>
      <c r="R5" s="349"/>
      <c r="S5" s="349"/>
      <c r="T5" s="349"/>
      <c r="U5" s="349"/>
      <c r="V5" s="349"/>
      <c r="W5" s="349"/>
      <c r="X5" s="349"/>
      <c r="Y5" s="349"/>
      <c r="Z5" s="349"/>
      <c r="AA5" s="349"/>
      <c r="AB5" s="378"/>
    </row>
    <row r="6" spans="2:28" ht="17" thickBot="1">
      <c r="B6" s="11"/>
      <c r="E6" s="2" t="s">
        <v>14</v>
      </c>
      <c r="F6" s="430" t="s">
        <v>283</v>
      </c>
      <c r="G6" s="498" t="s">
        <v>318</v>
      </c>
      <c r="H6" s="78"/>
      <c r="I6" s="19"/>
      <c r="J6" s="489"/>
      <c r="K6" s="17"/>
      <c r="L6" s="11"/>
      <c r="O6" s="2" t="s">
        <v>465</v>
      </c>
      <c r="P6" s="430" t="s">
        <v>283</v>
      </c>
      <c r="Q6" s="498" t="s">
        <v>318</v>
      </c>
      <c r="AB6" s="330"/>
    </row>
    <row r="7" spans="2:28">
      <c r="B7" s="11"/>
      <c r="E7" s="765" t="s">
        <v>445</v>
      </c>
      <c r="F7" s="766" t="s">
        <v>446</v>
      </c>
      <c r="G7" s="767">
        <v>1</v>
      </c>
      <c r="H7" s="78"/>
      <c r="I7" s="13" t="s">
        <v>7</v>
      </c>
      <c r="J7" s="489"/>
      <c r="K7" s="17"/>
      <c r="L7" s="11"/>
      <c r="O7" s="763" t="s">
        <v>434</v>
      </c>
      <c r="P7" s="28" t="s">
        <v>1</v>
      </c>
      <c r="Q7" s="764">
        <v>0.85</v>
      </c>
      <c r="S7" s="13" t="s">
        <v>7</v>
      </c>
      <c r="AB7" s="330"/>
    </row>
    <row r="8" spans="2:28">
      <c r="B8" s="11"/>
      <c r="E8" s="566" t="s">
        <v>447</v>
      </c>
      <c r="F8" s="7" t="s">
        <v>322</v>
      </c>
      <c r="G8" s="745">
        <v>3650</v>
      </c>
      <c r="H8" s="78"/>
      <c r="I8" s="506" t="s">
        <v>7</v>
      </c>
      <c r="J8" s="489"/>
      <c r="K8" s="17"/>
      <c r="L8" s="11"/>
      <c r="O8" s="724" t="s">
        <v>435</v>
      </c>
      <c r="P8" s="21" t="s">
        <v>425</v>
      </c>
      <c r="Q8" s="725">
        <f>(G11-3412)*Q7</f>
        <v>3141.8833333333337</v>
      </c>
      <c r="S8" s="13" t="s">
        <v>7</v>
      </c>
      <c r="AB8" s="330"/>
    </row>
    <row r="9" spans="2:28">
      <c r="B9" s="11"/>
      <c r="C9" s="401"/>
      <c r="E9" s="566" t="s">
        <v>448</v>
      </c>
      <c r="F9" s="6" t="s">
        <v>322</v>
      </c>
      <c r="G9" s="746">
        <f>G7*G8</f>
        <v>3650</v>
      </c>
      <c r="H9" s="351"/>
      <c r="I9" s="13" t="s">
        <v>7</v>
      </c>
      <c r="J9" s="490"/>
      <c r="K9" s="17"/>
      <c r="L9" s="11"/>
      <c r="O9" s="724" t="s">
        <v>442</v>
      </c>
      <c r="P9" s="21" t="s">
        <v>438</v>
      </c>
      <c r="Q9" s="741">
        <v>0</v>
      </c>
      <c r="S9" s="13" t="s">
        <v>7</v>
      </c>
      <c r="AB9" s="330"/>
    </row>
    <row r="10" spans="2:28">
      <c r="B10" s="11"/>
      <c r="E10" s="724" t="s">
        <v>469</v>
      </c>
      <c r="F10" s="21" t="s">
        <v>1</v>
      </c>
      <c r="G10" s="736">
        <v>0.48</v>
      </c>
      <c r="I10" s="13" t="s">
        <v>7</v>
      </c>
      <c r="J10" s="330"/>
      <c r="K10" s="17"/>
      <c r="L10" s="11"/>
      <c r="O10" s="724" t="s">
        <v>437</v>
      </c>
      <c r="P10" s="21" t="s">
        <v>1</v>
      </c>
      <c r="Q10" s="742">
        <v>0.02</v>
      </c>
      <c r="S10" s="13" t="s">
        <v>7</v>
      </c>
      <c r="AB10" s="330"/>
    </row>
    <row r="11" spans="2:28" ht="17" thickBot="1">
      <c r="B11" s="11"/>
      <c r="E11" s="724" t="s">
        <v>470</v>
      </c>
      <c r="F11" s="21" t="s">
        <v>425</v>
      </c>
      <c r="G11" s="725">
        <f>(3412/G10)</f>
        <v>7108.3333333333339</v>
      </c>
      <c r="I11" s="13" t="s">
        <v>7</v>
      </c>
      <c r="J11" s="330"/>
      <c r="K11" s="17"/>
      <c r="L11" s="11"/>
      <c r="AB11" s="330"/>
    </row>
    <row r="12" spans="2:28" ht="17" thickBot="1">
      <c r="B12" s="11"/>
      <c r="C12" s="401"/>
      <c r="E12" s="724" t="s">
        <v>426</v>
      </c>
      <c r="F12" s="21" t="s">
        <v>421</v>
      </c>
      <c r="G12" s="735">
        <v>1000</v>
      </c>
      <c r="I12" s="13" t="s">
        <v>7</v>
      </c>
      <c r="J12" s="330"/>
      <c r="K12" s="17"/>
      <c r="L12" s="11"/>
      <c r="O12" s="2" t="s">
        <v>372</v>
      </c>
      <c r="P12" s="430" t="s">
        <v>283</v>
      </c>
      <c r="Q12" s="498" t="s">
        <v>318</v>
      </c>
      <c r="U12" s="17"/>
      <c r="AB12" s="330"/>
    </row>
    <row r="13" spans="2:28">
      <c r="B13" s="11"/>
      <c r="E13" s="724" t="s">
        <v>464</v>
      </c>
      <c r="F13" s="21" t="s">
        <v>422</v>
      </c>
      <c r="G13" s="725">
        <f>'Cash Flow'!G8</f>
        <v>227281850</v>
      </c>
      <c r="I13" s="13" t="s">
        <v>7</v>
      </c>
      <c r="J13" s="330"/>
      <c r="K13" s="17"/>
      <c r="L13" s="11"/>
      <c r="M13" s="456"/>
      <c r="N13" s="1">
        <f>IF(OR(Q13&lt;=0,Q13&gt;G19),1,0)</f>
        <v>0</v>
      </c>
      <c r="O13" s="553" t="s">
        <v>396</v>
      </c>
      <c r="P13" s="547" t="s">
        <v>3</v>
      </c>
      <c r="Q13" s="573">
        <v>20</v>
      </c>
      <c r="R13" s="353"/>
      <c r="S13" s="13" t="s">
        <v>7</v>
      </c>
      <c r="T13" s="425"/>
      <c r="U13" s="251"/>
      <c r="V13" s="251"/>
      <c r="W13" s="251"/>
      <c r="X13" s="251"/>
      <c r="Y13" s="251"/>
      <c r="Z13" s="251"/>
      <c r="AB13" s="330"/>
    </row>
    <row r="14" spans="2:28">
      <c r="B14" s="11"/>
      <c r="E14" s="724" t="s">
        <v>428</v>
      </c>
      <c r="F14" s="21" t="s">
        <v>1</v>
      </c>
      <c r="G14" s="736">
        <v>0.9</v>
      </c>
      <c r="I14" s="13" t="s">
        <v>7</v>
      </c>
      <c r="J14" s="330"/>
      <c r="K14" s="17"/>
      <c r="L14" s="11"/>
      <c r="M14" s="401"/>
      <c r="O14" s="559" t="s">
        <v>197</v>
      </c>
      <c r="P14" s="7" t="s">
        <v>1</v>
      </c>
      <c r="Q14" s="571">
        <v>0</v>
      </c>
      <c r="R14" s="352"/>
      <c r="S14" s="13" t="s">
        <v>7</v>
      </c>
      <c r="T14" s="425"/>
      <c r="U14" s="246"/>
      <c r="V14" s="246"/>
      <c r="W14" s="246"/>
      <c r="X14" s="246"/>
      <c r="Y14" s="246"/>
      <c r="Z14" s="246"/>
      <c r="AB14" s="330"/>
    </row>
    <row r="15" spans="2:28" ht="17" thickBot="1">
      <c r="B15" s="11"/>
      <c r="E15" s="724" t="s">
        <v>429</v>
      </c>
      <c r="F15" s="21" t="s">
        <v>1</v>
      </c>
      <c r="G15" s="736">
        <v>0.1</v>
      </c>
      <c r="I15" s="13" t="s">
        <v>7</v>
      </c>
      <c r="J15" s="330"/>
      <c r="K15" s="17"/>
      <c r="L15" s="11"/>
      <c r="M15" s="400"/>
      <c r="O15" s="556" t="s">
        <v>373</v>
      </c>
      <c r="P15" s="562" t="s">
        <v>1</v>
      </c>
      <c r="Q15" s="602">
        <v>0</v>
      </c>
      <c r="R15" s="352"/>
      <c r="S15" s="13" t="s">
        <v>7</v>
      </c>
      <c r="T15" s="425"/>
      <c r="Y15" s="223"/>
      <c r="Z15" s="223"/>
      <c r="AB15" s="330"/>
    </row>
    <row r="16" spans="2:28" ht="17" thickBot="1">
      <c r="B16" s="11"/>
      <c r="E16" s="724" t="s">
        <v>468</v>
      </c>
      <c r="F16" s="21" t="s">
        <v>2</v>
      </c>
      <c r="G16" s="725">
        <f>'Cash Flow'!$G$10</f>
        <v>25898940</v>
      </c>
      <c r="I16" s="506" t="s">
        <v>7</v>
      </c>
      <c r="J16" s="330"/>
      <c r="K16" s="17"/>
      <c r="L16" s="379"/>
      <c r="M16" s="17"/>
      <c r="N16" s="17"/>
      <c r="O16" s="17"/>
      <c r="P16" s="17"/>
      <c r="Q16" s="17"/>
      <c r="R16" s="17"/>
      <c r="S16" s="17"/>
      <c r="T16" s="17"/>
      <c r="Y16" s="223"/>
      <c r="Z16" s="223"/>
      <c r="AB16" s="330"/>
    </row>
    <row r="17" spans="2:28" ht="17" thickBot="1">
      <c r="B17" s="11"/>
      <c r="C17" s="455"/>
      <c r="D17" s="1">
        <f>IF(OR(G17&lt;0,G17&gt;1),1,0)</f>
        <v>0</v>
      </c>
      <c r="E17" s="586" t="s">
        <v>452</v>
      </c>
      <c r="F17" s="6" t="s">
        <v>1</v>
      </c>
      <c r="G17" s="599">
        <v>0.02</v>
      </c>
      <c r="H17" s="352"/>
      <c r="I17" s="506" t="s">
        <v>7</v>
      </c>
      <c r="J17" s="490"/>
      <c r="K17" s="17"/>
      <c r="L17" s="379"/>
      <c r="O17" s="2" t="s">
        <v>387</v>
      </c>
      <c r="P17" s="3"/>
      <c r="Q17" s="4"/>
      <c r="R17" s="17"/>
      <c r="S17" s="13" t="s">
        <v>7</v>
      </c>
      <c r="T17" s="223"/>
      <c r="Y17" s="223"/>
      <c r="Z17" s="223"/>
      <c r="AB17" s="330"/>
    </row>
    <row r="18" spans="2:28">
      <c r="B18" s="11"/>
      <c r="C18" s="455"/>
      <c r="E18" s="747" t="s">
        <v>453</v>
      </c>
      <c r="F18" s="661" t="s">
        <v>454</v>
      </c>
      <c r="G18" s="745">
        <v>40000</v>
      </c>
      <c r="H18" s="352"/>
      <c r="I18" s="506" t="s">
        <v>7</v>
      </c>
      <c r="J18" s="490"/>
      <c r="K18" s="17"/>
      <c r="L18" s="379"/>
      <c r="M18" s="455"/>
      <c r="O18" s="603" t="s">
        <v>247</v>
      </c>
      <c r="P18" s="604"/>
      <c r="Q18" s="605" t="s">
        <v>304</v>
      </c>
      <c r="S18" s="428" t="s">
        <v>7</v>
      </c>
      <c r="T18" s="429">
        <f>IF(Q13&lt;G19,1,0)</f>
        <v>0</v>
      </c>
      <c r="U18" s="223"/>
      <c r="V18" s="223"/>
      <c r="W18" s="223"/>
      <c r="X18" s="223"/>
      <c r="Y18" s="223"/>
      <c r="Z18" s="223"/>
      <c r="AB18" s="330"/>
    </row>
    <row r="19" spans="2:28" ht="17" thickBot="1">
      <c r="B19" s="11"/>
      <c r="C19" s="456"/>
      <c r="D19" s="1">
        <f>IF(OR(G19&lt;1,G19&gt;30),1,0)</f>
        <v>0</v>
      </c>
      <c r="E19" s="569" t="s">
        <v>208</v>
      </c>
      <c r="F19" s="562" t="s">
        <v>3</v>
      </c>
      <c r="G19" s="572">
        <v>20</v>
      </c>
      <c r="H19" s="353"/>
      <c r="I19" s="13" t="s">
        <v>7</v>
      </c>
      <c r="J19" s="490"/>
      <c r="K19" s="17"/>
      <c r="L19" s="379"/>
      <c r="M19" s="455"/>
      <c r="N19" s="1">
        <f>IF(OR(Q19&lt;=0,Q19=""),1,0)</f>
        <v>0</v>
      </c>
      <c r="O19" s="606" t="s">
        <v>209</v>
      </c>
      <c r="P19" s="426" t="s">
        <v>52</v>
      </c>
      <c r="Q19" s="607">
        <v>5</v>
      </c>
      <c r="S19" s="428" t="s">
        <v>7</v>
      </c>
      <c r="T19" s="429">
        <f>IF(AND($Q$13&lt;$G$19,$Q$18="Year One"),1,0)</f>
        <v>0</v>
      </c>
      <c r="U19" s="223"/>
      <c r="V19" s="223"/>
      <c r="W19" s="223"/>
      <c r="X19" s="223"/>
      <c r="Y19" s="223"/>
      <c r="Z19" s="223"/>
      <c r="AB19" s="330"/>
    </row>
    <row r="20" spans="2:28" ht="17" thickBot="1">
      <c r="B20" s="11"/>
      <c r="G20" s="19"/>
      <c r="H20" s="19"/>
      <c r="I20" s="15"/>
      <c r="J20" s="490"/>
      <c r="K20" s="17"/>
      <c r="L20" s="379"/>
      <c r="M20" s="455"/>
      <c r="N20" s="1">
        <f>IF(OR(Q20&lt;=0,Q20=""),1,0)</f>
        <v>0</v>
      </c>
      <c r="O20" s="608" t="s">
        <v>210</v>
      </c>
      <c r="P20" s="427" t="s">
        <v>1</v>
      </c>
      <c r="Q20" s="609">
        <v>0.03</v>
      </c>
      <c r="S20" s="454" t="s">
        <v>7</v>
      </c>
      <c r="T20" s="429">
        <f>IF(AND($Q$13&lt;$G$19,$Q$18="Year One"),1,0)</f>
        <v>0</v>
      </c>
      <c r="U20" s="223"/>
      <c r="V20" s="223"/>
      <c r="W20" s="223"/>
      <c r="X20" s="223"/>
      <c r="AB20" s="330"/>
    </row>
    <row r="21" spans="2:28" ht="17" thickBot="1">
      <c r="B21" s="11"/>
      <c r="E21" s="9" t="s">
        <v>158</v>
      </c>
      <c r="F21" s="430" t="s">
        <v>283</v>
      </c>
      <c r="G21" s="498" t="s">
        <v>318</v>
      </c>
      <c r="H21" s="364"/>
      <c r="I21" s="15"/>
      <c r="J21" s="490"/>
      <c r="K21" s="17"/>
      <c r="L21" s="379"/>
      <c r="O21" s="610" t="str">
        <f>IF(OR($Q$18="Year One",$Q$13=$G$19),"","Click Here for Complex Input Worksheet")</f>
        <v/>
      </c>
      <c r="P21" s="611"/>
      <c r="Q21" s="612"/>
      <c r="S21" s="450" t="s">
        <v>7</v>
      </c>
      <c r="T21" s="429">
        <f>IF(AND($Q$13&lt;$G$19,$Q$18="Year-by-Year"),1,0)</f>
        <v>0</v>
      </c>
      <c r="U21" s="17"/>
      <c r="AB21" s="779"/>
    </row>
    <row r="22" spans="2:28" ht="17" thickBot="1">
      <c r="B22" s="11"/>
      <c r="C22" s="402"/>
      <c r="E22" s="533" t="s">
        <v>8</v>
      </c>
      <c r="F22" s="534"/>
      <c r="G22" s="535" t="s">
        <v>479</v>
      </c>
      <c r="H22" s="362"/>
      <c r="I22" s="13" t="s">
        <v>7</v>
      </c>
      <c r="J22" s="490"/>
      <c r="K22" s="17"/>
      <c r="L22" s="379"/>
      <c r="T22" s="247"/>
      <c r="U22" s="17"/>
      <c r="AA22" s="17"/>
      <c r="AB22" s="779"/>
    </row>
    <row r="23" spans="2:28" ht="17" thickBot="1">
      <c r="B23" s="11"/>
      <c r="C23" s="403"/>
      <c r="E23" s="536" t="s">
        <v>134</v>
      </c>
      <c r="F23" s="537" t="s">
        <v>323</v>
      </c>
      <c r="G23" s="538">
        <v>4750</v>
      </c>
      <c r="H23" s="354"/>
      <c r="I23" s="450" t="s">
        <v>7</v>
      </c>
      <c r="J23" s="491"/>
      <c r="K23" s="17"/>
      <c r="L23" s="379"/>
      <c r="O23" s="5" t="s">
        <v>24</v>
      </c>
      <c r="P23" s="430" t="s">
        <v>283</v>
      </c>
      <c r="Q23" s="498" t="s">
        <v>318</v>
      </c>
      <c r="R23" s="147"/>
      <c r="S23" s="15"/>
      <c r="T23" s="247"/>
      <c r="U23" s="17"/>
      <c r="AA23" s="17"/>
      <c r="AB23" s="779"/>
    </row>
    <row r="24" spans="2:28">
      <c r="B24" s="11"/>
      <c r="C24" s="404"/>
      <c r="E24" s="539" t="s">
        <v>159</v>
      </c>
      <c r="F24" s="426" t="s">
        <v>0</v>
      </c>
      <c r="G24" s="540">
        <v>12000000</v>
      </c>
      <c r="H24" s="355"/>
      <c r="I24" s="450" t="s">
        <v>7</v>
      </c>
      <c r="J24" s="490"/>
      <c r="K24" s="17"/>
      <c r="L24" s="379"/>
      <c r="M24" s="459"/>
      <c r="O24" s="676" t="s">
        <v>416</v>
      </c>
      <c r="P24" s="677"/>
      <c r="Q24" s="678" t="s">
        <v>477</v>
      </c>
      <c r="R24" s="429">
        <f>IF(OR($Q$24="Cost-Based",$Q$24="Neither"),1,0)</f>
        <v>1</v>
      </c>
      <c r="S24" s="13" t="s">
        <v>7</v>
      </c>
      <c r="T24" s="452">
        <f>IF(OR($Q$24="Performance-Based",$Q$24="Neither"),1,0)</f>
        <v>0</v>
      </c>
      <c r="U24" s="17"/>
      <c r="AA24" s="17"/>
      <c r="AB24" s="779"/>
    </row>
    <row r="25" spans="2:28">
      <c r="B25" s="11"/>
      <c r="C25" s="461"/>
      <c r="E25" s="539" t="s">
        <v>161</v>
      </c>
      <c r="F25" s="426" t="s">
        <v>0</v>
      </c>
      <c r="G25" s="540">
        <v>4000000</v>
      </c>
      <c r="H25" s="355"/>
      <c r="I25" s="450" t="s">
        <v>7</v>
      </c>
      <c r="J25" s="490"/>
      <c r="K25" s="17"/>
      <c r="L25" s="379"/>
      <c r="M25" s="459"/>
      <c r="O25" s="549" t="s">
        <v>295</v>
      </c>
      <c r="P25" s="7"/>
      <c r="Q25" s="713" t="s">
        <v>471</v>
      </c>
      <c r="R25" s="17"/>
      <c r="S25" s="13" t="s">
        <v>7</v>
      </c>
      <c r="T25" s="17"/>
      <c r="AB25" s="330"/>
    </row>
    <row r="26" spans="2:28">
      <c r="B26" s="11"/>
      <c r="C26" s="461"/>
      <c r="E26" s="541" t="s">
        <v>162</v>
      </c>
      <c r="F26" s="426" t="s">
        <v>0</v>
      </c>
      <c r="G26" s="540">
        <v>300000</v>
      </c>
      <c r="H26" s="355"/>
      <c r="I26" s="450" t="s">
        <v>7</v>
      </c>
      <c r="J26" s="490"/>
      <c r="K26" s="17"/>
      <c r="L26" s="379"/>
      <c r="M26" s="459"/>
      <c r="N26" s="1">
        <f>IF(OR(Q26&lt;0,Q26&gt;1,Q26=""),1,0)</f>
        <v>0</v>
      </c>
      <c r="O26" s="566" t="s">
        <v>218</v>
      </c>
      <c r="P26" s="6" t="s">
        <v>1</v>
      </c>
      <c r="Q26" s="613">
        <v>0.3</v>
      </c>
      <c r="R26" s="17"/>
      <c r="S26" s="13" t="s">
        <v>7</v>
      </c>
      <c r="T26" s="768"/>
      <c r="AB26" s="330"/>
    </row>
    <row r="27" spans="2:28">
      <c r="B27" s="11"/>
      <c r="C27" s="461"/>
      <c r="E27" s="541" t="s">
        <v>163</v>
      </c>
      <c r="F27" s="426" t="s">
        <v>0</v>
      </c>
      <c r="G27" s="540">
        <v>200000</v>
      </c>
      <c r="H27" s="355"/>
      <c r="I27" s="450" t="s">
        <v>7</v>
      </c>
      <c r="J27" s="490"/>
      <c r="K27" s="17"/>
      <c r="L27" s="11"/>
      <c r="N27" s="776">
        <f>IF(OR(Q27&lt;0,Q27&gt;1,Q27=""),1,0)</f>
        <v>0</v>
      </c>
      <c r="O27" s="566" t="s">
        <v>16</v>
      </c>
      <c r="P27" s="6" t="s">
        <v>1</v>
      </c>
      <c r="Q27" s="613">
        <v>1</v>
      </c>
      <c r="AB27" s="330"/>
    </row>
    <row r="28" spans="2:28" ht="17" thickBot="1">
      <c r="B28" s="11"/>
      <c r="C28" s="405"/>
      <c r="E28" s="541" t="s">
        <v>95</v>
      </c>
      <c r="F28" s="426" t="s">
        <v>0</v>
      </c>
      <c r="G28" s="542">
        <f>($G$60*$G$57*SUM($G$24:$G$27)+$G$54+$G$70+$Q$73+$Q$76)</f>
        <v>1676954.9482940962</v>
      </c>
      <c r="H28" s="356"/>
      <c r="I28" s="450" t="s">
        <v>7</v>
      </c>
      <c r="J28" s="490"/>
      <c r="K28" s="17"/>
      <c r="L28" s="379"/>
      <c r="O28" s="616" t="s">
        <v>132</v>
      </c>
      <c r="P28" s="7" t="s">
        <v>0</v>
      </c>
      <c r="Q28" s="778">
        <f>IF($G$79="Yes",IF($Q$25="ITC",'Cash Flow'!$C$109*Inputs!$Q$26*Inputs!$Q$27,IF($Q$25="Cash Grant",'Cash Flow'!$C$109*Inputs!$Q$26,0)),0)</f>
        <v>4889175</v>
      </c>
      <c r="R28" s="148"/>
      <c r="S28" s="13" t="s">
        <v>7</v>
      </c>
      <c r="AB28" s="330"/>
    </row>
    <row r="29" spans="2:28" ht="17" thickBot="1">
      <c r="B29" s="11"/>
      <c r="C29" s="405"/>
      <c r="E29" s="543" t="s">
        <v>299</v>
      </c>
      <c r="F29" s="544" t="str">
        <f>IF($G$22="Complex","$","")</f>
        <v/>
      </c>
      <c r="G29" s="545" t="str">
        <f>IF($G$22="Complex",'Complex Inputs'!$C$121,"")</f>
        <v/>
      </c>
      <c r="H29" s="357"/>
      <c r="I29" s="450" t="s">
        <v>7</v>
      </c>
      <c r="J29" s="490"/>
      <c r="K29" s="17"/>
      <c r="L29" s="379"/>
      <c r="M29" s="459"/>
      <c r="O29" s="564" t="s">
        <v>297</v>
      </c>
      <c r="P29" s="763"/>
      <c r="Q29" s="679" t="s">
        <v>433</v>
      </c>
      <c r="S29" s="13" t="s">
        <v>7</v>
      </c>
      <c r="AB29" s="330"/>
    </row>
    <row r="30" spans="2:28">
      <c r="B30" s="11"/>
      <c r="C30" s="406"/>
      <c r="E30" s="546" t="s">
        <v>394</v>
      </c>
      <c r="F30" s="547" t="s">
        <v>0</v>
      </c>
      <c r="G30" s="548">
        <f>IF($G$22="Simple",($G$23*$G$9),IF($G$22="Intermediate",SUM($G$24:$G$28),IF($G$22="Complex",$G$29,0)))</f>
        <v>17337500</v>
      </c>
      <c r="H30" s="357"/>
      <c r="I30" s="13" t="s">
        <v>7</v>
      </c>
      <c r="J30" s="490"/>
      <c r="K30" s="17"/>
      <c r="L30" s="379"/>
      <c r="M30" s="455"/>
      <c r="O30" s="559" t="s">
        <v>136</v>
      </c>
      <c r="P30" s="257" t="s">
        <v>52</v>
      </c>
      <c r="Q30" s="615">
        <v>1.1499999999999999</v>
      </c>
      <c r="R30" s="17"/>
      <c r="S30" s="13" t="s">
        <v>7</v>
      </c>
      <c r="AB30" s="330"/>
    </row>
    <row r="31" spans="2:28" ht="17" thickBot="1">
      <c r="B31" s="11"/>
      <c r="C31" s="406"/>
      <c r="E31" s="689" t="s">
        <v>394</v>
      </c>
      <c r="F31" s="551" t="str">
        <f>F23</f>
        <v>$/kW</v>
      </c>
      <c r="G31" s="552">
        <f>G30/G9</f>
        <v>4750</v>
      </c>
      <c r="H31" s="365"/>
      <c r="I31" s="13" t="s">
        <v>7</v>
      </c>
      <c r="J31" s="490"/>
      <c r="K31" s="17"/>
      <c r="L31" s="11"/>
      <c r="N31" s="1">
        <f>IF(OR(Q31&lt;0,Q31&gt;1),1,0)</f>
        <v>0</v>
      </c>
      <c r="O31" s="559" t="s">
        <v>344</v>
      </c>
      <c r="P31" s="6" t="s">
        <v>1</v>
      </c>
      <c r="Q31" s="599">
        <v>1</v>
      </c>
      <c r="T31" s="17"/>
      <c r="AB31" s="330"/>
    </row>
    <row r="32" spans="2:28" ht="17" thickBot="1">
      <c r="B32" s="11"/>
      <c r="C32" s="407"/>
      <c r="E32" s="20"/>
      <c r="F32" s="12"/>
      <c r="G32" s="12"/>
      <c r="I32" s="19"/>
      <c r="J32" s="490"/>
      <c r="K32" s="17"/>
      <c r="L32" s="379"/>
      <c r="M32" s="455"/>
      <c r="N32" s="1">
        <f>IF(OR(Q32&lt;0,Q32&gt;G19),1,0)</f>
        <v>0</v>
      </c>
      <c r="O32" s="559" t="s">
        <v>32</v>
      </c>
      <c r="P32" s="21" t="s">
        <v>31</v>
      </c>
      <c r="Q32" s="560">
        <v>10</v>
      </c>
      <c r="R32" s="17"/>
      <c r="S32" s="13" t="s">
        <v>7</v>
      </c>
      <c r="AB32" s="330"/>
    </row>
    <row r="33" spans="2:28" ht="17" thickBot="1">
      <c r="B33" s="11"/>
      <c r="E33" s="5" t="s">
        <v>9</v>
      </c>
      <c r="F33" s="430" t="s">
        <v>283</v>
      </c>
      <c r="G33" s="498" t="s">
        <v>318</v>
      </c>
      <c r="H33" s="366"/>
      <c r="I33" s="19"/>
      <c r="J33" s="490"/>
      <c r="K33" s="17"/>
      <c r="L33" s="379"/>
      <c r="M33" s="455"/>
      <c r="O33" s="559" t="s">
        <v>141</v>
      </c>
      <c r="P33" s="6" t="s">
        <v>1</v>
      </c>
      <c r="Q33" s="599">
        <v>0.02</v>
      </c>
      <c r="R33" s="17"/>
      <c r="S33" s="13" t="s">
        <v>7</v>
      </c>
      <c r="T33" s="17"/>
      <c r="AB33" s="330"/>
    </row>
    <row r="34" spans="2:28" ht="17" thickBot="1">
      <c r="B34" s="11"/>
      <c r="C34" s="402"/>
      <c r="E34" s="663" t="s">
        <v>8</v>
      </c>
      <c r="F34" s="664"/>
      <c r="G34" s="665" t="s">
        <v>424</v>
      </c>
      <c r="H34" s="362"/>
      <c r="I34" s="13" t="s">
        <v>7</v>
      </c>
      <c r="J34" s="490"/>
      <c r="K34" s="17"/>
      <c r="L34" s="379"/>
      <c r="M34" s="455"/>
      <c r="O34" s="617" t="s">
        <v>415</v>
      </c>
      <c r="P34" s="618" t="s">
        <v>0</v>
      </c>
      <c r="Q34" s="619">
        <v>0</v>
      </c>
      <c r="R34" s="148"/>
      <c r="S34" s="13" t="s">
        <v>7</v>
      </c>
      <c r="T34" s="17"/>
      <c r="AB34" s="330"/>
    </row>
    <row r="35" spans="2:28" ht="17" thickBot="1">
      <c r="B35" s="11"/>
      <c r="C35" s="408"/>
      <c r="E35" s="553" t="s">
        <v>207</v>
      </c>
      <c r="F35" s="554" t="s">
        <v>321</v>
      </c>
      <c r="G35" s="555">
        <v>250</v>
      </c>
      <c r="H35" s="367"/>
      <c r="I35" s="13" t="s">
        <v>7</v>
      </c>
      <c r="J35" s="490"/>
      <c r="K35" s="17"/>
      <c r="L35" s="379"/>
      <c r="M35" s="459"/>
      <c r="O35" s="569" t="s">
        <v>238</v>
      </c>
      <c r="P35" s="562"/>
      <c r="Q35" s="620" t="s">
        <v>12</v>
      </c>
      <c r="R35" s="24"/>
      <c r="S35" s="13" t="s">
        <v>7</v>
      </c>
      <c r="T35" s="17"/>
      <c r="AB35" s="330"/>
    </row>
    <row r="36" spans="2:28" ht="17" thickBot="1">
      <c r="B36" s="11"/>
      <c r="C36" s="455"/>
      <c r="E36" s="549" t="s">
        <v>96</v>
      </c>
      <c r="F36" s="7" t="s">
        <v>97</v>
      </c>
      <c r="G36" s="615">
        <v>0</v>
      </c>
      <c r="H36" s="368"/>
      <c r="I36" s="13" t="s">
        <v>7</v>
      </c>
      <c r="J36" s="490"/>
      <c r="K36" s="17"/>
      <c r="L36" s="11"/>
      <c r="AB36" s="330"/>
    </row>
    <row r="37" spans="2:28" ht="17" thickBot="1">
      <c r="B37" s="11"/>
      <c r="C37" s="409"/>
      <c r="D37" s="17"/>
      <c r="E37" s="574" t="s">
        <v>206</v>
      </c>
      <c r="F37" s="7" t="s">
        <v>1</v>
      </c>
      <c r="G37" s="575">
        <v>0.02</v>
      </c>
      <c r="H37" s="352"/>
      <c r="I37" s="13" t="s">
        <v>7</v>
      </c>
      <c r="J37" s="491"/>
      <c r="K37" s="17"/>
      <c r="L37" s="379"/>
      <c r="O37" s="5" t="s">
        <v>412</v>
      </c>
      <c r="P37" s="430" t="s">
        <v>283</v>
      </c>
      <c r="Q37" s="498" t="s">
        <v>318</v>
      </c>
      <c r="R37" s="17"/>
      <c r="AB37" s="330"/>
    </row>
    <row r="38" spans="2:28" ht="17" thickBot="1">
      <c r="B38" s="11"/>
      <c r="C38" s="401"/>
      <c r="E38" s="559" t="s">
        <v>204</v>
      </c>
      <c r="F38" s="7" t="s">
        <v>27</v>
      </c>
      <c r="G38" s="560">
        <v>10</v>
      </c>
      <c r="H38" s="353"/>
      <c r="I38" s="13" t="s">
        <v>7</v>
      </c>
      <c r="J38" s="491"/>
      <c r="K38" s="17"/>
      <c r="L38" s="379"/>
      <c r="M38" s="459"/>
      <c r="O38" s="676" t="s">
        <v>418</v>
      </c>
      <c r="P38" s="677"/>
      <c r="Q38" s="678" t="s">
        <v>478</v>
      </c>
      <c r="S38" s="13" t="s">
        <v>7</v>
      </c>
      <c r="AB38" s="330"/>
    </row>
    <row r="39" spans="2:28" ht="17" thickBot="1">
      <c r="B39" s="11"/>
      <c r="C39" s="409"/>
      <c r="D39" s="17"/>
      <c r="E39" s="561" t="s">
        <v>205</v>
      </c>
      <c r="F39" s="562" t="s">
        <v>1</v>
      </c>
      <c r="G39" s="563">
        <v>0.02</v>
      </c>
      <c r="H39" s="359"/>
      <c r="I39" s="13" t="s">
        <v>7</v>
      </c>
      <c r="J39" s="490"/>
      <c r="K39" s="17"/>
      <c r="L39" s="379"/>
      <c r="M39" s="455"/>
      <c r="N39" s="1">
        <f>IF(OR(Q39&lt;0,Q39&gt;1),1,0)</f>
        <v>0</v>
      </c>
      <c r="O39" s="553" t="s">
        <v>199</v>
      </c>
      <c r="P39" s="547" t="s">
        <v>1</v>
      </c>
      <c r="Q39" s="622">
        <v>0.3</v>
      </c>
      <c r="R39" s="17">
        <f>IF(OR($Q$38="Performance-Based",$Q$38="Neither"),1,0)</f>
        <v>1</v>
      </c>
      <c r="S39" s="13" t="s">
        <v>7</v>
      </c>
      <c r="AB39" s="330"/>
    </row>
    <row r="40" spans="2:28">
      <c r="B40" s="11"/>
      <c r="C40" s="455"/>
      <c r="E40" s="621" t="s">
        <v>63</v>
      </c>
      <c r="F40" s="6" t="s">
        <v>1</v>
      </c>
      <c r="G40" s="568">
        <v>3.0000000000000001E-3</v>
      </c>
      <c r="H40" s="352"/>
      <c r="I40" s="450" t="s">
        <v>7</v>
      </c>
      <c r="J40" s="490"/>
      <c r="K40" s="17"/>
      <c r="L40" s="11"/>
      <c r="N40" s="1">
        <f>IF(OR(Q40&lt;0,Q40&gt;1),1,0)</f>
        <v>0</v>
      </c>
      <c r="O40" s="553" t="s">
        <v>25</v>
      </c>
      <c r="P40" s="547" t="s">
        <v>1</v>
      </c>
      <c r="Q40" s="622">
        <v>1</v>
      </c>
      <c r="AB40" s="330"/>
    </row>
    <row r="41" spans="2:28">
      <c r="B41" s="11"/>
      <c r="E41" s="559" t="s">
        <v>308</v>
      </c>
      <c r="F41" s="7" t="s">
        <v>0</v>
      </c>
      <c r="G41" s="565">
        <f>$G$40*IF($G$22="Simple",$G$30,IF($G$22="Intermediate",SUM($G$24:$G$27),SUM('Complex Inputs'!$C$116:$C$119)))</f>
        <v>52012.5</v>
      </c>
      <c r="H41" s="356"/>
      <c r="I41" s="450" t="s">
        <v>7</v>
      </c>
      <c r="J41" s="490"/>
      <c r="K41" s="17"/>
      <c r="L41" s="379"/>
      <c r="M41" s="455"/>
      <c r="N41" s="1">
        <f>IF(OR(Q41&lt;1,Q41&gt;G19),1,0)</f>
        <v>0</v>
      </c>
      <c r="O41" s="559" t="s">
        <v>30</v>
      </c>
      <c r="P41" s="21" t="s">
        <v>31</v>
      </c>
      <c r="Q41" s="560">
        <v>1</v>
      </c>
      <c r="R41" s="17"/>
      <c r="S41" s="13" t="s">
        <v>7</v>
      </c>
      <c r="T41" s="17"/>
      <c r="AB41" s="330"/>
    </row>
    <row r="42" spans="2:28" ht="17" thickBot="1">
      <c r="B42" s="11"/>
      <c r="C42" s="455"/>
      <c r="E42" s="566" t="s">
        <v>198</v>
      </c>
      <c r="F42" s="6" t="s">
        <v>10</v>
      </c>
      <c r="G42" s="567">
        <v>30000</v>
      </c>
      <c r="H42" s="369"/>
      <c r="I42" s="450" t="s">
        <v>7</v>
      </c>
      <c r="J42" s="491"/>
      <c r="K42" s="17"/>
      <c r="L42" s="11"/>
      <c r="O42" s="569" t="s">
        <v>371</v>
      </c>
      <c r="P42" s="623" t="s">
        <v>0</v>
      </c>
      <c r="Q42" s="680">
        <f>IF(AND($G$79="Yes",$Q$38="Cost-Based"),SUM('Cash Flow'!$G$193:$AJ$193),0)</f>
        <v>0</v>
      </c>
      <c r="S42" s="13" t="s">
        <v>7</v>
      </c>
      <c r="AB42" s="330"/>
    </row>
    <row r="43" spans="2:28">
      <c r="B43" s="11"/>
      <c r="C43" s="455"/>
      <c r="E43" s="586" t="s">
        <v>450</v>
      </c>
      <c r="F43" s="453" t="s">
        <v>451</v>
      </c>
      <c r="G43" s="758">
        <v>4</v>
      </c>
      <c r="I43" s="450" t="s">
        <v>7</v>
      </c>
      <c r="J43" s="330"/>
      <c r="K43" s="17"/>
      <c r="L43" s="379"/>
      <c r="M43" s="459"/>
      <c r="O43" s="621" t="s">
        <v>298</v>
      </c>
      <c r="P43" s="6"/>
      <c r="Q43" s="679" t="s">
        <v>395</v>
      </c>
      <c r="R43" s="17">
        <f>IF(OR($Q$38="Cost-Based",$Q$38="Neither"),1,0)</f>
        <v>1</v>
      </c>
      <c r="S43" s="13" t="s">
        <v>7</v>
      </c>
      <c r="AB43" s="330"/>
    </row>
    <row r="44" spans="2:28">
      <c r="B44" s="11"/>
      <c r="C44" s="455"/>
      <c r="E44" s="586" t="s">
        <v>449</v>
      </c>
      <c r="F44" s="453" t="s">
        <v>1</v>
      </c>
      <c r="G44" s="599">
        <v>0.02</v>
      </c>
      <c r="I44" s="450" t="s">
        <v>7</v>
      </c>
      <c r="J44" s="330"/>
      <c r="K44" s="17"/>
      <c r="L44" s="11"/>
      <c r="O44" s="559" t="s">
        <v>408</v>
      </c>
      <c r="P44" s="21" t="s">
        <v>0</v>
      </c>
      <c r="Q44" s="702">
        <v>500000</v>
      </c>
      <c r="R44" s="308"/>
      <c r="S44" s="13" t="s">
        <v>7</v>
      </c>
      <c r="T44" s="17"/>
      <c r="U44" s="449"/>
      <c r="AB44" s="330"/>
    </row>
    <row r="45" spans="2:28">
      <c r="B45" s="11"/>
      <c r="C45" s="455"/>
      <c r="E45" s="559" t="s">
        <v>240</v>
      </c>
      <c r="F45" s="6" t="s">
        <v>10</v>
      </c>
      <c r="G45" s="567">
        <v>0</v>
      </c>
      <c r="H45" s="369"/>
      <c r="I45" s="450" t="s">
        <v>7</v>
      </c>
      <c r="J45" s="490"/>
      <c r="K45" s="17"/>
      <c r="L45" s="379"/>
      <c r="M45" s="459"/>
      <c r="O45" s="559" t="s">
        <v>419</v>
      </c>
      <c r="P45" s="10"/>
      <c r="Q45" s="614" t="s">
        <v>135</v>
      </c>
      <c r="R45" s="429">
        <f>IF(OR($Q$38="Cost-Based",$Q$38="Neither",$Q$43="Tax Credit"),1,0)</f>
        <v>1</v>
      </c>
      <c r="S45" s="13" t="s">
        <v>7</v>
      </c>
      <c r="AB45" s="330"/>
    </row>
    <row r="46" spans="2:28">
      <c r="B46" s="11"/>
      <c r="C46" s="455"/>
      <c r="E46" s="559" t="s">
        <v>239</v>
      </c>
      <c r="F46" s="6" t="s">
        <v>1</v>
      </c>
      <c r="G46" s="568">
        <v>0</v>
      </c>
      <c r="I46" s="450" t="s">
        <v>7</v>
      </c>
      <c r="J46" s="490"/>
      <c r="K46" s="17"/>
      <c r="L46" s="379"/>
      <c r="M46" s="455"/>
      <c r="O46" s="559" t="s">
        <v>409</v>
      </c>
      <c r="P46" s="257" t="s">
        <v>52</v>
      </c>
      <c r="Q46" s="615">
        <v>1.5</v>
      </c>
      <c r="R46" s="24"/>
      <c r="S46" s="13" t="s">
        <v>7</v>
      </c>
      <c r="AB46" s="330"/>
    </row>
    <row r="47" spans="2:28">
      <c r="B47" s="11"/>
      <c r="C47" s="455"/>
      <c r="E47" s="559" t="s">
        <v>325</v>
      </c>
      <c r="F47" s="6" t="s">
        <v>10</v>
      </c>
      <c r="G47" s="567">
        <v>25000</v>
      </c>
      <c r="H47" s="369"/>
      <c r="I47" s="450" t="s">
        <v>7</v>
      </c>
      <c r="J47" s="490"/>
      <c r="K47" s="17"/>
      <c r="L47" s="11"/>
      <c r="N47" s="777">
        <f>IF(OR(Q47&lt;0,Q47&gt;1),1,0)</f>
        <v>0</v>
      </c>
      <c r="O47" s="559" t="s">
        <v>157</v>
      </c>
      <c r="P47" s="7" t="s">
        <v>1</v>
      </c>
      <c r="Q47" s="599">
        <v>1</v>
      </c>
      <c r="T47" s="429"/>
      <c r="U47" s="17"/>
      <c r="AB47" s="330"/>
    </row>
    <row r="48" spans="2:28">
      <c r="B48" s="11"/>
      <c r="C48" s="455"/>
      <c r="E48" s="549" t="s">
        <v>112</v>
      </c>
      <c r="F48" s="6" t="s">
        <v>1</v>
      </c>
      <c r="G48" s="568">
        <v>0</v>
      </c>
      <c r="H48" s="352"/>
      <c r="I48" s="450" t="s">
        <v>7</v>
      </c>
      <c r="J48" s="490"/>
      <c r="K48" s="17"/>
      <c r="L48" s="379"/>
      <c r="M48" s="455"/>
      <c r="N48" s="1">
        <f>IF(OR(Q48&lt;0,Q48&gt;G19),1,0)</f>
        <v>0</v>
      </c>
      <c r="O48" s="559" t="s">
        <v>410</v>
      </c>
      <c r="P48" s="21" t="s">
        <v>31</v>
      </c>
      <c r="Q48" s="560">
        <v>10</v>
      </c>
      <c r="R48" s="24"/>
      <c r="S48" s="13" t="s">
        <v>7</v>
      </c>
      <c r="U48" s="431"/>
      <c r="AB48" s="330"/>
    </row>
    <row r="49" spans="2:28" ht="17" thickBot="1">
      <c r="B49" s="11"/>
      <c r="E49" s="569" t="s">
        <v>309</v>
      </c>
      <c r="F49" s="562" t="s">
        <v>0</v>
      </c>
      <c r="G49" s="570">
        <f>-'Cash Flow'!G44</f>
        <v>0</v>
      </c>
      <c r="H49" s="356"/>
      <c r="I49" s="450" t="s">
        <v>7</v>
      </c>
      <c r="J49" s="330"/>
      <c r="K49" s="17"/>
      <c r="L49" s="379"/>
      <c r="M49" s="455"/>
      <c r="O49" s="559" t="s">
        <v>411</v>
      </c>
      <c r="P49" s="6" t="s">
        <v>1</v>
      </c>
      <c r="Q49" s="599">
        <v>0.02</v>
      </c>
      <c r="R49" s="17"/>
      <c r="S49" s="13" t="s">
        <v>7</v>
      </c>
      <c r="T49" s="429"/>
      <c r="AB49" s="330"/>
    </row>
    <row r="50" spans="2:28" ht="17" thickBot="1">
      <c r="B50" s="11"/>
      <c r="C50" s="410"/>
      <c r="E50" s="12"/>
      <c r="F50" s="12"/>
      <c r="G50" s="12"/>
      <c r="I50" s="19"/>
      <c r="J50" s="490"/>
      <c r="K50" s="17"/>
      <c r="L50" s="379"/>
      <c r="M50" s="455"/>
      <c r="N50" s="17"/>
      <c r="O50" s="700" t="s">
        <v>417</v>
      </c>
      <c r="P50" s="664" t="s">
        <v>323</v>
      </c>
      <c r="Q50" s="703">
        <v>0</v>
      </c>
      <c r="S50" s="13" t="s">
        <v>7</v>
      </c>
      <c r="U50" s="381"/>
      <c r="AB50" s="330"/>
    </row>
    <row r="51" spans="2:28" ht="17" thickBot="1">
      <c r="B51" s="11"/>
      <c r="C51" s="410"/>
      <c r="E51" s="5" t="s">
        <v>190</v>
      </c>
      <c r="F51" s="430" t="s">
        <v>283</v>
      </c>
      <c r="G51" s="498" t="s">
        <v>318</v>
      </c>
      <c r="H51" s="370"/>
      <c r="I51" s="19"/>
      <c r="J51" s="490"/>
      <c r="K51" s="17"/>
      <c r="L51" s="11"/>
      <c r="O51" s="559" t="s">
        <v>407</v>
      </c>
      <c r="P51" s="21" t="s">
        <v>0</v>
      </c>
      <c r="Q51" s="701">
        <v>500000</v>
      </c>
      <c r="S51" s="13" t="s">
        <v>7</v>
      </c>
      <c r="T51" s="499"/>
      <c r="U51" s="17"/>
      <c r="AB51" s="330"/>
    </row>
    <row r="52" spans="2:28" ht="17" thickBot="1">
      <c r="B52" s="11"/>
      <c r="C52" s="457"/>
      <c r="E52" s="558" t="s">
        <v>4</v>
      </c>
      <c r="F52" s="547" t="s">
        <v>35</v>
      </c>
      <c r="G52" s="573">
        <v>9</v>
      </c>
      <c r="H52" s="370"/>
      <c r="I52" s="13" t="s">
        <v>7</v>
      </c>
      <c r="J52" s="490"/>
      <c r="K52" s="17"/>
      <c r="L52" s="379"/>
      <c r="M52" s="459"/>
      <c r="O52" s="569" t="s">
        <v>237</v>
      </c>
      <c r="P52" s="562"/>
      <c r="Q52" s="620" t="s">
        <v>12</v>
      </c>
      <c r="R52" s="24"/>
      <c r="S52" s="13" t="s">
        <v>7</v>
      </c>
      <c r="U52" s="17"/>
      <c r="AB52" s="330"/>
    </row>
    <row r="53" spans="2:28" ht="17" thickBot="1">
      <c r="B53" s="11"/>
      <c r="C53" s="457"/>
      <c r="E53" s="574" t="s">
        <v>34</v>
      </c>
      <c r="F53" s="7" t="s">
        <v>1</v>
      </c>
      <c r="G53" s="575">
        <v>5.5E-2</v>
      </c>
      <c r="H53" s="370"/>
      <c r="I53" s="13" t="s">
        <v>7</v>
      </c>
      <c r="J53" s="490"/>
      <c r="K53" s="17"/>
      <c r="L53" s="379"/>
      <c r="T53" s="17"/>
      <c r="U53" s="17"/>
      <c r="AB53" s="330"/>
    </row>
    <row r="54" spans="2:28" ht="17" thickBot="1">
      <c r="B54" s="11"/>
      <c r="C54" s="410"/>
      <c r="E54" s="561" t="s">
        <v>36</v>
      </c>
      <c r="F54" s="551" t="s">
        <v>0</v>
      </c>
      <c r="G54" s="570">
        <f>IF($G$22="intermediate",SUM(G24:G27)*($G$53/12)*($G$52/2),IF($G$22="complex",'Complex Inputs'!$C$107,0))</f>
        <v>0</v>
      </c>
      <c r="H54" s="370"/>
      <c r="I54" s="13" t="s">
        <v>7</v>
      </c>
      <c r="J54" s="490"/>
      <c r="K54" s="17"/>
      <c r="L54" s="379"/>
      <c r="M54" s="17"/>
      <c r="N54" s="17"/>
      <c r="O54" s="5" t="s">
        <v>480</v>
      </c>
      <c r="P54" s="26"/>
      <c r="Q54" s="498"/>
      <c r="R54" s="17"/>
      <c r="S54" s="17"/>
      <c r="T54" s="17"/>
      <c r="U54" s="17"/>
      <c r="AB54" s="330"/>
    </row>
    <row r="55" spans="2:28" ht="17" thickBot="1">
      <c r="B55" s="11"/>
      <c r="G55" s="252"/>
      <c r="H55" s="252"/>
      <c r="I55" s="19"/>
      <c r="J55" s="490"/>
      <c r="K55" s="17"/>
      <c r="L55" s="379"/>
      <c r="M55" s="460"/>
      <c r="N55" s="17">
        <f>IF(OR(Q55&lt;1,Q55&gt;$G$19),1,0)</f>
        <v>0</v>
      </c>
      <c r="O55" s="558" t="s">
        <v>455</v>
      </c>
      <c r="P55" s="618" t="s">
        <v>27</v>
      </c>
      <c r="Q55" s="748">
        <f>ROUND($G$18/8760,0)</f>
        <v>5</v>
      </c>
      <c r="R55" s="17"/>
      <c r="S55" s="13" t="s">
        <v>7</v>
      </c>
      <c r="T55" s="17"/>
      <c r="U55" s="17"/>
      <c r="AB55" s="330"/>
    </row>
    <row r="56" spans="2:28" ht="17" thickBot="1">
      <c r="B56" s="11"/>
      <c r="C56" s="410"/>
      <c r="E56" s="583" t="s">
        <v>33</v>
      </c>
      <c r="F56" s="584" t="s">
        <v>283</v>
      </c>
      <c r="G56" s="585" t="s">
        <v>318</v>
      </c>
      <c r="H56" s="370"/>
      <c r="I56" s="492"/>
      <c r="J56" s="490"/>
      <c r="K56" s="17"/>
      <c r="L56" s="379"/>
      <c r="M56" s="409"/>
      <c r="N56" s="17"/>
      <c r="O56" s="561" t="s">
        <v>249</v>
      </c>
      <c r="P56" s="623" t="str">
        <f>$F$23</f>
        <v>$/kW</v>
      </c>
      <c r="Q56" s="627">
        <v>0</v>
      </c>
      <c r="R56" s="17"/>
      <c r="S56" s="13" t="s">
        <v>7</v>
      </c>
      <c r="T56" s="17"/>
      <c r="U56" s="17"/>
      <c r="AB56" s="330"/>
    </row>
    <row r="57" spans="2:28">
      <c r="B57" s="11"/>
      <c r="C57" s="455"/>
      <c r="D57" s="1">
        <f>IF(OR(G57="",G57&lt;0,G57&gt;1),1,0)</f>
        <v>0</v>
      </c>
      <c r="E57" s="564" t="s">
        <v>241</v>
      </c>
      <c r="F57" s="547" t="s">
        <v>1</v>
      </c>
      <c r="G57" s="576">
        <v>0.4</v>
      </c>
      <c r="H57" s="371"/>
      <c r="I57" s="13" t="s">
        <v>7</v>
      </c>
      <c r="J57" s="491"/>
      <c r="K57" s="17"/>
      <c r="L57" s="379"/>
      <c r="M57" s="460"/>
      <c r="N57" s="17">
        <f>IF(OR(Q57&lt;Q55,Q57&gt;$G$19),1,0)</f>
        <v>0</v>
      </c>
      <c r="O57" s="626" t="s">
        <v>456</v>
      </c>
      <c r="P57" s="28" t="s">
        <v>27</v>
      </c>
      <c r="Q57" s="749">
        <f>Q55+ROUND($G$18/8760,0)</f>
        <v>10</v>
      </c>
      <c r="R57" s="17"/>
      <c r="S57" s="13" t="s">
        <v>7</v>
      </c>
      <c r="T57" s="17"/>
      <c r="AB57" s="330"/>
    </row>
    <row r="58" spans="2:28" ht="17" thickBot="1">
      <c r="B58" s="11"/>
      <c r="C58" s="455"/>
      <c r="D58" s="1">
        <f>IF(OR(G58&lt;=0,G58&gt;G19),1,0)</f>
        <v>0</v>
      </c>
      <c r="E58" s="559" t="s">
        <v>401</v>
      </c>
      <c r="F58" s="7" t="s">
        <v>3</v>
      </c>
      <c r="G58" s="560">
        <v>13</v>
      </c>
      <c r="H58" s="353"/>
      <c r="I58" s="13" t="s">
        <v>7</v>
      </c>
      <c r="J58" s="491"/>
      <c r="K58" s="17"/>
      <c r="L58" s="379"/>
      <c r="M58" s="409"/>
      <c r="N58" s="17"/>
      <c r="O58" s="561" t="s">
        <v>250</v>
      </c>
      <c r="P58" s="623" t="str">
        <f>$F$23</f>
        <v>$/kW</v>
      </c>
      <c r="Q58" s="627">
        <v>0</v>
      </c>
      <c r="R58" s="17"/>
      <c r="S58" s="13" t="s">
        <v>7</v>
      </c>
      <c r="T58" s="17"/>
      <c r="AB58" s="330"/>
    </row>
    <row r="59" spans="2:28">
      <c r="B59" s="11"/>
      <c r="C59" s="457"/>
      <c r="D59" s="1">
        <f>IF(OR(G59&lt;0,G59=""),1,0)</f>
        <v>0</v>
      </c>
      <c r="E59" s="559" t="s">
        <v>203</v>
      </c>
      <c r="F59" s="7" t="s">
        <v>1</v>
      </c>
      <c r="G59" s="588">
        <v>7.0000000000000007E-2</v>
      </c>
      <c r="H59" s="372"/>
      <c r="I59" s="13" t="s">
        <v>7</v>
      </c>
      <c r="J59" s="491"/>
      <c r="K59" s="17"/>
      <c r="L59" s="379"/>
      <c r="M59" s="460"/>
      <c r="N59" s="17">
        <f>IF(OR(Q59&lt;Q57,Q59&gt;$G$19),1,0)</f>
        <v>0</v>
      </c>
      <c r="O59" s="574" t="s">
        <v>457</v>
      </c>
      <c r="P59" s="21" t="s">
        <v>27</v>
      </c>
      <c r="Q59" s="749">
        <f>Q57+ROUND($G$18/8760,0)</f>
        <v>15</v>
      </c>
      <c r="R59" s="17"/>
      <c r="S59" s="13" t="s">
        <v>7</v>
      </c>
      <c r="T59" s="17"/>
      <c r="AB59" s="330"/>
    </row>
    <row r="60" spans="2:28" ht="17" thickBot="1">
      <c r="B60" s="11"/>
      <c r="C60" s="455"/>
      <c r="D60" s="1">
        <f>IF(OR(G60&lt;0,G60=""),1,0)</f>
        <v>0</v>
      </c>
      <c r="E60" s="589" t="s">
        <v>47</v>
      </c>
      <c r="F60" s="562" t="s">
        <v>1</v>
      </c>
      <c r="G60" s="759">
        <v>0.03</v>
      </c>
      <c r="H60" s="352"/>
      <c r="I60" s="13" t="s">
        <v>7</v>
      </c>
      <c r="J60" s="490"/>
      <c r="K60" s="17"/>
      <c r="L60" s="379"/>
      <c r="M60" s="409"/>
      <c r="N60" s="17"/>
      <c r="O60" s="561" t="s">
        <v>353</v>
      </c>
      <c r="P60" s="623" t="str">
        <f>$F$23</f>
        <v>$/kW</v>
      </c>
      <c r="Q60" s="627">
        <v>0</v>
      </c>
      <c r="R60" s="17"/>
      <c r="S60" s="13" t="s">
        <v>7</v>
      </c>
      <c r="AB60" s="330"/>
    </row>
    <row r="61" spans="2:28">
      <c r="B61" s="11"/>
      <c r="C61" s="455"/>
      <c r="E61" s="586" t="s">
        <v>216</v>
      </c>
      <c r="F61" s="453"/>
      <c r="G61" s="587">
        <v>1.2</v>
      </c>
      <c r="H61" s="360"/>
      <c r="I61" s="13" t="s">
        <v>7</v>
      </c>
      <c r="J61" s="490"/>
      <c r="K61" s="17"/>
      <c r="L61" s="379"/>
      <c r="M61" s="460"/>
      <c r="N61" s="17">
        <f>IF(OR(Q61&lt;Q59,Q61&gt;$G$19),1,0)</f>
        <v>0</v>
      </c>
      <c r="O61" s="574" t="s">
        <v>458</v>
      </c>
      <c r="P61" s="21" t="s">
        <v>27</v>
      </c>
      <c r="Q61" s="749">
        <f>Q59+ROUND($G$18/8760,0)</f>
        <v>20</v>
      </c>
      <c r="R61" s="17"/>
      <c r="S61" s="13" t="s">
        <v>7</v>
      </c>
      <c r="U61" s="17"/>
      <c r="AB61" s="330"/>
    </row>
    <row r="62" spans="2:28" ht="17" thickBot="1">
      <c r="B62" s="11"/>
      <c r="E62" s="578" t="s">
        <v>217</v>
      </c>
      <c r="F62" s="332">
        <f>MAX('Cash Flow'!G52:AJ52)</f>
        <v>13</v>
      </c>
      <c r="G62" s="579">
        <f>ROUND('Cash Flow'!$F$51,2)</f>
        <v>1.34</v>
      </c>
      <c r="H62" s="361"/>
      <c r="I62" s="13" t="s">
        <v>7</v>
      </c>
      <c r="J62" s="490"/>
      <c r="K62" s="17"/>
      <c r="L62" s="379"/>
      <c r="M62" s="409"/>
      <c r="N62" s="17"/>
      <c r="O62" s="751" t="s">
        <v>354</v>
      </c>
      <c r="P62" s="752" t="str">
        <f>$F$23</f>
        <v>$/kW</v>
      </c>
      <c r="Q62" s="753">
        <v>0</v>
      </c>
      <c r="R62" s="17"/>
      <c r="S62" s="13" t="s">
        <v>7</v>
      </c>
      <c r="AB62" s="330"/>
    </row>
    <row r="63" spans="2:28" ht="17" thickBot="1">
      <c r="B63" s="11"/>
      <c r="C63" s="455"/>
      <c r="E63" s="578" t="s">
        <v>316</v>
      </c>
      <c r="F63" s="10" t="s">
        <v>187</v>
      </c>
      <c r="G63" s="580" t="str">
        <f>IF($G$62&gt;=$G$61,"Pass","Fail")</f>
        <v>Pass</v>
      </c>
      <c r="H63" s="493"/>
      <c r="I63" s="13" t="s">
        <v>7</v>
      </c>
      <c r="J63" s="491"/>
      <c r="K63" s="17"/>
      <c r="L63" s="379"/>
      <c r="O63" s="754" t="s">
        <v>476</v>
      </c>
      <c r="P63" s="756" t="s">
        <v>1</v>
      </c>
      <c r="Q63" s="755">
        <v>0.1</v>
      </c>
      <c r="U63" s="17"/>
      <c r="AB63" s="330"/>
    </row>
    <row r="64" spans="2:28" ht="17" thickBot="1">
      <c r="B64" s="11"/>
      <c r="C64" s="455"/>
      <c r="E64" s="578" t="s">
        <v>246</v>
      </c>
      <c r="F64" s="10"/>
      <c r="G64" s="581">
        <v>1.45</v>
      </c>
      <c r="H64" s="360"/>
      <c r="I64" s="13" t="s">
        <v>7</v>
      </c>
      <c r="J64" s="490"/>
      <c r="K64" s="17"/>
      <c r="L64" s="11"/>
      <c r="U64" s="470"/>
      <c r="AB64" s="330"/>
    </row>
    <row r="65" spans="2:28" ht="17" thickBot="1">
      <c r="B65" s="11"/>
      <c r="E65" s="578" t="s">
        <v>245</v>
      </c>
      <c r="F65" s="332"/>
      <c r="G65" s="579">
        <f>ROUND('Cash Flow'!$E$51,2)</f>
        <v>1.64</v>
      </c>
      <c r="H65" s="361"/>
      <c r="I65" s="13" t="s">
        <v>7</v>
      </c>
      <c r="J65" s="490"/>
      <c r="K65" s="17"/>
      <c r="L65" s="379"/>
      <c r="M65" s="17"/>
      <c r="N65" s="17"/>
      <c r="O65" s="5" t="s">
        <v>44</v>
      </c>
      <c r="P65" s="430" t="s">
        <v>283</v>
      </c>
      <c r="Q65" s="498" t="s">
        <v>318</v>
      </c>
      <c r="R65" s="17"/>
      <c r="S65" s="17"/>
      <c r="T65" s="17"/>
      <c r="U65" s="470"/>
      <c r="AB65" s="330"/>
    </row>
    <row r="66" spans="2:28" ht="17" thickBot="1">
      <c r="B66" s="11"/>
      <c r="C66" s="455"/>
      <c r="E66" s="550" t="s">
        <v>317</v>
      </c>
      <c r="F66" s="551" t="s">
        <v>187</v>
      </c>
      <c r="G66" s="582" t="str">
        <f>IF($G$65&gt;=$G$64,"Pass","Fail")</f>
        <v>Pass</v>
      </c>
      <c r="H66" s="493"/>
      <c r="I66" s="13" t="s">
        <v>7</v>
      </c>
      <c r="J66" s="490"/>
      <c r="K66" s="17"/>
      <c r="L66" s="379"/>
      <c r="M66" s="17"/>
      <c r="N66" s="17"/>
      <c r="O66" s="628" t="s">
        <v>43</v>
      </c>
      <c r="P66" s="629"/>
      <c r="Q66" s="630"/>
      <c r="R66" s="17"/>
      <c r="S66" s="17"/>
      <c r="T66" s="17"/>
      <c r="U66" s="463"/>
      <c r="AB66" s="330"/>
    </row>
    <row r="67" spans="2:28">
      <c r="B67" s="11"/>
      <c r="E67" s="546" t="s">
        <v>320</v>
      </c>
      <c r="F67" s="547" t="s">
        <v>1</v>
      </c>
      <c r="G67" s="590">
        <f>1-G57</f>
        <v>0.6</v>
      </c>
      <c r="H67" s="373"/>
      <c r="I67" s="13" t="s">
        <v>7</v>
      </c>
      <c r="J67" s="490"/>
      <c r="K67" s="17"/>
      <c r="L67" s="379"/>
      <c r="M67" s="459"/>
      <c r="N67" s="17"/>
      <c r="O67" s="631" t="s">
        <v>45</v>
      </c>
      <c r="P67" s="27"/>
      <c r="Q67" s="614" t="s">
        <v>432</v>
      </c>
      <c r="R67" s="17"/>
      <c r="S67" s="13" t="s">
        <v>7</v>
      </c>
      <c r="T67" s="17"/>
      <c r="U67" s="17"/>
      <c r="AB67" s="330"/>
    </row>
    <row r="68" spans="2:28" ht="17" thickBot="1">
      <c r="B68" s="11"/>
      <c r="C68" s="455"/>
      <c r="D68" s="1">
        <f>IF(OR(G68&lt;0,G68=""),1,0)</f>
        <v>0</v>
      </c>
      <c r="E68" s="591" t="s">
        <v>263</v>
      </c>
      <c r="F68" s="562" t="s">
        <v>1</v>
      </c>
      <c r="G68" s="577">
        <v>0.12</v>
      </c>
      <c r="H68" s="372"/>
      <c r="I68" s="13" t="s">
        <v>7</v>
      </c>
      <c r="J68" s="490"/>
      <c r="K68" s="17"/>
      <c r="L68" s="379"/>
      <c r="M68" s="460"/>
      <c r="N68" s="17"/>
      <c r="O68" s="561" t="s">
        <v>46</v>
      </c>
      <c r="P68" s="623" t="s">
        <v>0</v>
      </c>
      <c r="Q68" s="593">
        <v>0</v>
      </c>
      <c r="R68" s="17"/>
      <c r="S68" s="13" t="s">
        <v>7</v>
      </c>
      <c r="T68" s="17"/>
      <c r="U68" s="17"/>
      <c r="AB68" s="330"/>
    </row>
    <row r="69" spans="2:28" ht="17" thickBot="1">
      <c r="B69" s="11"/>
      <c r="E69" s="564" t="s">
        <v>302</v>
      </c>
      <c r="F69" s="547" t="s">
        <v>1</v>
      </c>
      <c r="G69" s="592">
        <f>(G68*F74)+(F73*G59*(1-G84))</f>
        <v>8.8652999999999996E-2</v>
      </c>
      <c r="I69" s="13" t="s">
        <v>7</v>
      </c>
      <c r="J69" s="330"/>
      <c r="K69" s="17"/>
      <c r="L69" s="379"/>
      <c r="U69" s="17"/>
      <c r="AB69" s="330"/>
    </row>
    <row r="70" spans="2:28" ht="17" thickBot="1">
      <c r="B70" s="11"/>
      <c r="C70" s="455"/>
      <c r="E70" s="589" t="s">
        <v>172</v>
      </c>
      <c r="F70" s="562" t="s">
        <v>0</v>
      </c>
      <c r="G70" s="593">
        <v>0</v>
      </c>
      <c r="H70" s="369"/>
      <c r="I70" s="13" t="s">
        <v>7</v>
      </c>
      <c r="J70" s="330"/>
      <c r="K70" s="17"/>
      <c r="L70" s="379"/>
      <c r="M70" s="17"/>
      <c r="N70" s="17"/>
      <c r="O70" s="5" t="s">
        <v>37</v>
      </c>
      <c r="P70" s="430" t="s">
        <v>283</v>
      </c>
      <c r="Q70" s="498" t="s">
        <v>318</v>
      </c>
      <c r="R70" s="17"/>
      <c r="S70" s="17"/>
      <c r="T70" s="17"/>
      <c r="U70" s="17"/>
      <c r="AB70" s="330"/>
    </row>
    <row r="71" spans="2:28" ht="17" thickBot="1">
      <c r="B71" s="11"/>
      <c r="J71" s="330"/>
      <c r="L71" s="379"/>
      <c r="M71" s="17"/>
      <c r="N71" s="17"/>
      <c r="O71" s="632" t="s">
        <v>38</v>
      </c>
      <c r="P71" s="624"/>
      <c r="Q71" s="625"/>
      <c r="R71" s="17"/>
      <c r="S71" s="17"/>
      <c r="T71" s="17"/>
      <c r="AB71" s="330"/>
    </row>
    <row r="72" spans="2:28" ht="17" thickBot="1">
      <c r="B72" s="379"/>
      <c r="E72" s="398" t="s">
        <v>244</v>
      </c>
      <c r="F72" s="26"/>
      <c r="G72" s="399"/>
      <c r="J72" s="330"/>
      <c r="K72" s="17"/>
      <c r="L72" s="379"/>
      <c r="M72" s="460"/>
      <c r="N72" s="17"/>
      <c r="O72" s="559" t="s">
        <v>42</v>
      </c>
      <c r="P72" s="7" t="s">
        <v>35</v>
      </c>
      <c r="Q72" s="560">
        <v>6</v>
      </c>
      <c r="R72" s="17"/>
      <c r="S72" s="13" t="s">
        <v>7</v>
      </c>
      <c r="T72" s="17"/>
      <c r="U72" s="17"/>
      <c r="AB72" s="330"/>
    </row>
    <row r="73" spans="2:28" ht="17" thickBot="1">
      <c r="B73" s="379"/>
      <c r="E73" s="564" t="s">
        <v>242</v>
      </c>
      <c r="F73" s="682">
        <f>G73/$G$76</f>
        <v>0.4</v>
      </c>
      <c r="G73" s="594">
        <f>'Cash Flow'!F92</f>
        <v>6935000</v>
      </c>
      <c r="I73" s="13" t="s">
        <v>7</v>
      </c>
      <c r="J73" s="330"/>
      <c r="L73" s="379"/>
      <c r="M73" s="17"/>
      <c r="N73" s="17"/>
      <c r="O73" s="569" t="s">
        <v>41</v>
      </c>
      <c r="P73" s="562" t="s">
        <v>0</v>
      </c>
      <c r="Q73" s="633">
        <f>-'Cash Flow'!$G$95/12*$Q$72</f>
        <v>414889.31591247208</v>
      </c>
      <c r="R73" s="17"/>
      <c r="S73" s="13" t="s">
        <v>7</v>
      </c>
      <c r="T73" s="17"/>
      <c r="AB73" s="330"/>
    </row>
    <row r="74" spans="2:28">
      <c r="B74" s="379"/>
      <c r="E74" s="559" t="s">
        <v>243</v>
      </c>
      <c r="F74" s="681">
        <f>G74/$G$76</f>
        <v>0.6</v>
      </c>
      <c r="G74" s="565">
        <f>-'Cash Flow'!$F$62</f>
        <v>10402500</v>
      </c>
      <c r="I74" s="13" t="s">
        <v>7</v>
      </c>
      <c r="J74" s="330"/>
      <c r="L74" s="379"/>
      <c r="M74" s="17"/>
      <c r="N74" s="17"/>
      <c r="O74" s="632" t="s">
        <v>62</v>
      </c>
      <c r="P74" s="624"/>
      <c r="Q74" s="634"/>
      <c r="R74" s="17"/>
      <c r="S74" s="17"/>
      <c r="T74" s="17"/>
      <c r="AB74" s="330"/>
    </row>
    <row r="75" spans="2:28" ht="17" thickBot="1">
      <c r="B75" s="11"/>
      <c r="E75" s="595" t="s">
        <v>306</v>
      </c>
      <c r="F75" s="687">
        <f>G75/$G$76</f>
        <v>0</v>
      </c>
      <c r="G75" s="688">
        <f>IF($Q$35="Yes",$Q$34*(1-$G$80),$Q$34)+IF($Q$52="Yes",IF($Q$51=0,($Q$50*$G$9)*(1-$G$82),MIN($Q$51*(1-$G$82),($Q$50*$G$9)*(1-$G$82))),IF($Q$51=0,$Q$50*$G$9,MIN($Q$51,$Q$50*$G$9)))</f>
        <v>0</v>
      </c>
      <c r="H75" s="358"/>
      <c r="I75" s="13" t="s">
        <v>7</v>
      </c>
      <c r="J75" s="330"/>
      <c r="L75" s="379"/>
      <c r="M75" s="460"/>
      <c r="N75" s="17"/>
      <c r="O75" s="574" t="s">
        <v>39</v>
      </c>
      <c r="P75" s="7" t="s">
        <v>35</v>
      </c>
      <c r="Q75" s="560">
        <v>6</v>
      </c>
      <c r="R75" s="17"/>
      <c r="S75" s="13" t="s">
        <v>7</v>
      </c>
      <c r="T75" s="17"/>
      <c r="AB75" s="330"/>
    </row>
    <row r="76" spans="2:28" ht="18" thickTop="1" thickBot="1">
      <c r="B76" s="379"/>
      <c r="E76" s="596" t="s">
        <v>134</v>
      </c>
      <c r="F76" s="557" t="s">
        <v>0</v>
      </c>
      <c r="G76" s="597">
        <f>SUM(G73:G75)</f>
        <v>17337500</v>
      </c>
      <c r="I76" s="13" t="s">
        <v>7</v>
      </c>
      <c r="J76" s="330"/>
      <c r="L76" s="379"/>
      <c r="M76" s="17"/>
      <c r="N76" s="17"/>
      <c r="O76" s="561" t="s">
        <v>40</v>
      </c>
      <c r="P76" s="562" t="s">
        <v>0</v>
      </c>
      <c r="Q76" s="633">
        <f>-(AVERAGE('Cash Flow'!G46:AJ46)/12*$Q$75)</f>
        <v>1064065.6323816241</v>
      </c>
      <c r="R76" s="17"/>
      <c r="S76" s="13" t="s">
        <v>7</v>
      </c>
      <c r="T76" s="17"/>
      <c r="AB76" s="330"/>
    </row>
    <row r="77" spans="2:28" ht="17" thickBot="1">
      <c r="B77" s="11"/>
      <c r="J77" s="330"/>
      <c r="L77" s="379"/>
      <c r="M77" s="460"/>
      <c r="N77" s="17"/>
      <c r="O77" s="636" t="s">
        <v>145</v>
      </c>
      <c r="P77" s="534" t="s">
        <v>1</v>
      </c>
      <c r="Q77" s="635">
        <v>1.4999999999999999E-2</v>
      </c>
      <c r="R77" s="17"/>
      <c r="S77" s="13" t="s">
        <v>7</v>
      </c>
      <c r="T77" s="17"/>
      <c r="AB77" s="330"/>
    </row>
    <row r="78" spans="2:28" ht="17" thickBot="1">
      <c r="B78" s="11"/>
      <c r="E78" s="5" t="s">
        <v>154</v>
      </c>
      <c r="F78" s="430" t="s">
        <v>283</v>
      </c>
      <c r="G78" s="498" t="s">
        <v>318</v>
      </c>
      <c r="H78" s="374"/>
      <c r="I78" s="19"/>
      <c r="J78" s="330"/>
      <c r="L78" s="11"/>
      <c r="AB78" s="330"/>
    </row>
    <row r="79" spans="2:28" ht="17" thickBot="1">
      <c r="B79" s="11"/>
      <c r="C79" s="458"/>
      <c r="E79" s="533" t="s">
        <v>15</v>
      </c>
      <c r="F79" s="656"/>
      <c r="G79" s="657" t="s">
        <v>12</v>
      </c>
      <c r="H79" s="363"/>
      <c r="I79" s="13" t="s">
        <v>7</v>
      </c>
      <c r="J79" s="330"/>
      <c r="L79" s="11"/>
      <c r="M79" s="17"/>
      <c r="N79" s="17"/>
      <c r="O79" s="432" t="s">
        <v>91</v>
      </c>
      <c r="P79" s="528" t="s">
        <v>319</v>
      </c>
      <c r="Q79" s="528"/>
      <c r="R79" s="528"/>
      <c r="S79" s="528"/>
      <c r="T79" s="528"/>
      <c r="U79" s="528"/>
      <c r="V79" s="528"/>
      <c r="W79" s="528"/>
      <c r="X79" s="528"/>
      <c r="Y79" s="528"/>
      <c r="Z79" s="399"/>
      <c r="AB79" s="330"/>
    </row>
    <row r="80" spans="2:28">
      <c r="B80" s="11"/>
      <c r="C80" s="455"/>
      <c r="D80" s="1">
        <f>IF(OR(G80&lt;0,G80=""),1,0)</f>
        <v>0</v>
      </c>
      <c r="E80" s="553" t="s">
        <v>5</v>
      </c>
      <c r="F80" s="547" t="s">
        <v>1</v>
      </c>
      <c r="G80" s="658">
        <v>0.35</v>
      </c>
      <c r="H80" s="352"/>
      <c r="I80" s="13" t="s">
        <v>7</v>
      </c>
      <c r="J80" s="490"/>
      <c r="L80" s="11"/>
      <c r="M80" s="458"/>
      <c r="N80" s="17"/>
      <c r="O80" s="617" t="s">
        <v>327</v>
      </c>
      <c r="P80" s="598" t="s">
        <v>135</v>
      </c>
      <c r="S80" s="506" t="s">
        <v>7</v>
      </c>
      <c r="Z80" s="330"/>
      <c r="AB80" s="330"/>
    </row>
    <row r="81" spans="2:28" ht="17" thickBot="1">
      <c r="B81" s="11"/>
      <c r="C81" s="458"/>
      <c r="E81" s="616" t="s">
        <v>278</v>
      </c>
      <c r="F81" s="659"/>
      <c r="G81" s="620" t="s">
        <v>305</v>
      </c>
      <c r="H81" s="363"/>
      <c r="I81" s="13" t="s">
        <v>7</v>
      </c>
      <c r="J81" s="330"/>
      <c r="L81" s="11"/>
      <c r="M81" s="460"/>
      <c r="O81" s="569" t="s">
        <v>328</v>
      </c>
      <c r="P81" s="637">
        <v>0.5</v>
      </c>
      <c r="S81" s="13" t="s">
        <v>7</v>
      </c>
      <c r="Z81" s="330"/>
      <c r="AB81" s="330"/>
    </row>
    <row r="82" spans="2:28" ht="17" thickBot="1">
      <c r="B82" s="11"/>
      <c r="C82" s="455"/>
      <c r="D82" s="1">
        <f>IF(OR(G82&lt;0,G82=""),1,0)</f>
        <v>0</v>
      </c>
      <c r="E82" s="553" t="s">
        <v>6</v>
      </c>
      <c r="F82" s="547" t="s">
        <v>1</v>
      </c>
      <c r="G82" s="658">
        <v>8.5000000000000006E-2</v>
      </c>
      <c r="H82" s="352"/>
      <c r="I82" s="13" t="s">
        <v>7</v>
      </c>
      <c r="J82" s="490"/>
      <c r="L82" s="11"/>
      <c r="O82" s="377"/>
      <c r="P82" s="91"/>
      <c r="Q82" s="91"/>
      <c r="R82" s="91"/>
      <c r="S82" s="91"/>
      <c r="T82" s="91"/>
      <c r="U82" s="91"/>
      <c r="V82" s="91"/>
      <c r="W82" s="91"/>
      <c r="X82" s="91"/>
      <c r="Y82" s="91"/>
      <c r="Z82" s="387"/>
      <c r="AB82" s="330"/>
    </row>
    <row r="83" spans="2:28" ht="17" thickBot="1">
      <c r="B83" s="11"/>
      <c r="C83" s="458"/>
      <c r="E83" s="616" t="s">
        <v>279</v>
      </c>
      <c r="F83" s="659"/>
      <c r="G83" s="620" t="s">
        <v>305</v>
      </c>
      <c r="H83" s="363"/>
      <c r="I83" s="13" t="s">
        <v>7</v>
      </c>
      <c r="J83" s="490"/>
      <c r="L83" s="11"/>
      <c r="M83" s="17"/>
      <c r="N83" s="17"/>
      <c r="O83" s="638" t="s">
        <v>329</v>
      </c>
      <c r="P83" s="639" t="s">
        <v>19</v>
      </c>
      <c r="Q83" s="770" t="s">
        <v>127</v>
      </c>
      <c r="R83" s="791" t="s">
        <v>20</v>
      </c>
      <c r="S83" s="792"/>
      <c r="T83" s="793"/>
      <c r="U83" s="639" t="s">
        <v>128</v>
      </c>
      <c r="V83" s="639" t="s">
        <v>129</v>
      </c>
      <c r="W83" s="639" t="s">
        <v>21</v>
      </c>
      <c r="X83" s="639" t="s">
        <v>22</v>
      </c>
      <c r="Y83" s="639" t="s">
        <v>130</v>
      </c>
      <c r="Z83" s="640" t="s">
        <v>23</v>
      </c>
      <c r="AB83" s="330"/>
    </row>
    <row r="84" spans="2:28" ht="17" thickBot="1">
      <c r="B84" s="11"/>
      <c r="E84" s="660" t="s">
        <v>29</v>
      </c>
      <c r="F84" s="661" t="s">
        <v>1</v>
      </c>
      <c r="G84" s="662">
        <f>IF($G$79="Yes",$G$80+(G82*(1-$G$80)),0%)</f>
        <v>0.40525</v>
      </c>
      <c r="H84" s="376"/>
      <c r="I84" s="13" t="s">
        <v>7</v>
      </c>
      <c r="J84" s="490"/>
      <c r="L84" s="11">
        <f>IF(AND($G$79="Yes",$G$22="Simple"),1,0)</f>
        <v>1</v>
      </c>
      <c r="M84" s="17"/>
      <c r="N84" s="308">
        <f>IF(AND($G$22="Simple",SUM(P84:Z84)=1),1,IF(AND($G$22="Simple",SUM(P84:Z84)&lt;&gt;1),2,0))</f>
        <v>1</v>
      </c>
      <c r="O84" s="641" t="str">
        <f t="shared" ref="O84:O89" si="0">E23</f>
        <v>Total Installed Cost</v>
      </c>
      <c r="P84" s="642">
        <v>0.94</v>
      </c>
      <c r="Q84" s="771">
        <v>0</v>
      </c>
      <c r="R84" s="794">
        <v>1.4999999999999999E-2</v>
      </c>
      <c r="S84" s="795"/>
      <c r="T84" s="796"/>
      <c r="U84" s="642">
        <v>0.01</v>
      </c>
      <c r="V84" s="642">
        <v>0</v>
      </c>
      <c r="W84" s="642">
        <v>0</v>
      </c>
      <c r="X84" s="642">
        <v>0.01</v>
      </c>
      <c r="Y84" s="642">
        <v>0</v>
      </c>
      <c r="Z84" s="643">
        <v>2.5000000000000001E-2</v>
      </c>
      <c r="AB84" s="375" t="s">
        <v>7</v>
      </c>
    </row>
    <row r="85" spans="2:28" ht="17" thickBot="1">
      <c r="B85" s="11"/>
      <c r="E85" s="569" t="s">
        <v>91</v>
      </c>
      <c r="F85" s="600"/>
      <c r="G85" s="601" t="s">
        <v>98</v>
      </c>
      <c r="H85" s="487"/>
      <c r="I85" s="13" t="s">
        <v>7</v>
      </c>
      <c r="J85" s="330"/>
      <c r="L85" s="11">
        <f>IF(AND($G$79="Yes",$G$22="Intermediate"),1,0)</f>
        <v>0</v>
      </c>
      <c r="M85" s="17"/>
      <c r="N85" s="308">
        <f>IF(AND($G$22="Intermediate",SUM(P85:Z85)=1),1,IF(AND($G$22="Intermediate",SUM(P85:Z85)&lt;&gt;1),2,0))</f>
        <v>0</v>
      </c>
      <c r="O85" s="644" t="str">
        <f t="shared" si="0"/>
        <v>Generation Equipment</v>
      </c>
      <c r="P85" s="645">
        <v>0.96</v>
      </c>
      <c r="Q85" s="772">
        <v>0</v>
      </c>
      <c r="R85" s="797">
        <v>0.02</v>
      </c>
      <c r="S85" s="798"/>
      <c r="T85" s="799"/>
      <c r="U85" s="645">
        <v>0</v>
      </c>
      <c r="V85" s="645">
        <v>0</v>
      </c>
      <c r="W85" s="645">
        <v>0</v>
      </c>
      <c r="X85" s="645">
        <v>0.02</v>
      </c>
      <c r="Y85" s="645">
        <v>0</v>
      </c>
      <c r="Z85" s="646">
        <v>0</v>
      </c>
      <c r="AB85" s="375" t="s">
        <v>7</v>
      </c>
    </row>
    <row r="86" spans="2:28" ht="17" thickBot="1">
      <c r="B86" s="377"/>
      <c r="C86" s="91"/>
      <c r="D86" s="91"/>
      <c r="E86" s="91"/>
      <c r="F86" s="91"/>
      <c r="G86" s="91"/>
      <c r="H86" s="91"/>
      <c r="I86" s="91"/>
      <c r="J86" s="387"/>
      <c r="L86" s="11">
        <f>IF(AND($G$79="Yes",$G$22="Intermediate"),1,0)</f>
        <v>0</v>
      </c>
      <c r="M86" s="17"/>
      <c r="N86" s="308">
        <f>IF(AND($G$22="Intermediate",SUM(P86:Z86)=1),1,IF(AND($G$22="Intermediate",SUM(P86:Z86)&lt;&gt;1),2,0))</f>
        <v>0</v>
      </c>
      <c r="O86" s="647" t="str">
        <f t="shared" si="0"/>
        <v>Balance of Plant</v>
      </c>
      <c r="P86" s="451">
        <v>0.75</v>
      </c>
      <c r="Q86" s="769">
        <v>0</v>
      </c>
      <c r="R86" s="780">
        <v>0</v>
      </c>
      <c r="S86" s="781"/>
      <c r="T86" s="782"/>
      <c r="U86" s="451">
        <v>0</v>
      </c>
      <c r="V86" s="451">
        <v>0</v>
      </c>
      <c r="W86" s="451">
        <v>0.25</v>
      </c>
      <c r="X86" s="451">
        <v>0</v>
      </c>
      <c r="Y86" s="451">
        <v>0</v>
      </c>
      <c r="Z86" s="648">
        <v>0</v>
      </c>
      <c r="AB86" s="375" t="s">
        <v>7</v>
      </c>
    </row>
    <row r="87" spans="2:28">
      <c r="L87" s="11">
        <f>IF(AND($G$79="Yes",$G$22="Intermediate"),1,0)</f>
        <v>0</v>
      </c>
      <c r="M87" s="17"/>
      <c r="N87" s="308">
        <f>IF(AND($G$22="Intermediate",SUM(P87:Z87)=1),1,IF(AND($G$22="Intermediate",SUM(P87:Z87)&lt;&gt;1),2,0))</f>
        <v>0</v>
      </c>
      <c r="O87" s="647" t="str">
        <f t="shared" si="0"/>
        <v>Interconnection</v>
      </c>
      <c r="P87" s="451">
        <v>0</v>
      </c>
      <c r="Q87" s="769">
        <v>0</v>
      </c>
      <c r="R87" s="780">
        <v>1</v>
      </c>
      <c r="S87" s="781"/>
      <c r="T87" s="782"/>
      <c r="U87" s="451">
        <v>0</v>
      </c>
      <c r="V87" s="451">
        <v>0</v>
      </c>
      <c r="W87" s="451">
        <v>0</v>
      </c>
      <c r="X87" s="451">
        <v>0</v>
      </c>
      <c r="Y87" s="451">
        <v>0</v>
      </c>
      <c r="Z87" s="648">
        <v>0</v>
      </c>
      <c r="AB87" s="375" t="s">
        <v>7</v>
      </c>
    </row>
    <row r="88" spans="2:28">
      <c r="L88" s="11">
        <f>IF(AND($G$79="Yes",$G$22="Intermediate"),1,0)</f>
        <v>0</v>
      </c>
      <c r="M88" s="17"/>
      <c r="N88" s="308">
        <f>IF(AND($G$22="Intermediate",SUM(P88:Z88)=1),1,IF(AND($G$22="Intermediate",SUM(P88:Z88)&lt;&gt;1),2,0))</f>
        <v>0</v>
      </c>
      <c r="O88" s="647" t="str">
        <f t="shared" si="0"/>
        <v>Development Costs &amp; Fee</v>
      </c>
      <c r="P88" s="451">
        <v>0.8</v>
      </c>
      <c r="Q88" s="769">
        <v>0</v>
      </c>
      <c r="R88" s="780">
        <v>0</v>
      </c>
      <c r="S88" s="781"/>
      <c r="T88" s="782"/>
      <c r="U88" s="451">
        <v>0</v>
      </c>
      <c r="V88" s="451">
        <v>0</v>
      </c>
      <c r="W88" s="451">
        <v>0.05</v>
      </c>
      <c r="X88" s="451">
        <v>0.05</v>
      </c>
      <c r="Y88" s="451">
        <v>0</v>
      </c>
      <c r="Z88" s="648">
        <v>0.1</v>
      </c>
      <c r="AB88" s="375" t="s">
        <v>7</v>
      </c>
    </row>
    <row r="89" spans="2:28" ht="17" thickBot="1">
      <c r="L89" s="11">
        <f>IF(AND($G$79="Yes",$G$22="Intermediate"),1,0)</f>
        <v>0</v>
      </c>
      <c r="M89" s="17"/>
      <c r="N89" s="308">
        <f>IF(AND($G$22="Intermediate",SUM(P89:Z89)=1),1,IF(AND($G$22="Intermediate",SUM(P89:Z89)&lt;&gt;1),2,0))</f>
        <v>0</v>
      </c>
      <c r="O89" s="649" t="str">
        <f t="shared" si="0"/>
        <v>Reserves &amp; Financing Costs</v>
      </c>
      <c r="P89" s="650">
        <v>0</v>
      </c>
      <c r="Q89" s="773">
        <v>0</v>
      </c>
      <c r="R89" s="783">
        <v>0</v>
      </c>
      <c r="S89" s="784"/>
      <c r="T89" s="785"/>
      <c r="U89" s="650">
        <v>0</v>
      </c>
      <c r="V89" s="650">
        <v>0</v>
      </c>
      <c r="W89" s="650">
        <v>0</v>
      </c>
      <c r="X89" s="650">
        <v>0.5</v>
      </c>
      <c r="Y89" s="650">
        <v>0</v>
      </c>
      <c r="Z89" s="651">
        <v>0.5</v>
      </c>
      <c r="AB89" s="375" t="s">
        <v>7</v>
      </c>
    </row>
    <row r="90" spans="2:28" ht="17" thickBot="1">
      <c r="L90" s="377">
        <f>IF(AND($G$79="Yes",$G$22="Complex"),1,0)</f>
        <v>0</v>
      </c>
      <c r="M90" s="388"/>
      <c r="N90" s="388"/>
      <c r="O90" s="652" t="s">
        <v>303</v>
      </c>
      <c r="P90" s="653"/>
      <c r="Q90" s="654"/>
      <c r="R90" s="786"/>
      <c r="S90" s="787"/>
      <c r="T90" s="788"/>
      <c r="U90" s="653"/>
      <c r="V90" s="653"/>
      <c r="W90" s="653"/>
      <c r="X90" s="653"/>
      <c r="Y90" s="653"/>
      <c r="Z90" s="655"/>
      <c r="AA90" s="91"/>
      <c r="AB90" s="508" t="s">
        <v>7</v>
      </c>
    </row>
    <row r="92" spans="2:28" ht="17" thickBot="1">
      <c r="M92" s="17"/>
      <c r="N92" s="17"/>
      <c r="O92" s="761"/>
      <c r="P92" s="762"/>
      <c r="Q92" s="762"/>
      <c r="R92" s="17"/>
      <c r="S92" s="17"/>
      <c r="T92" s="17"/>
      <c r="U92" s="762"/>
      <c r="V92" s="762"/>
      <c r="W92" s="762"/>
      <c r="X92" s="762"/>
      <c r="Y92" s="762"/>
      <c r="Z92" s="762"/>
      <c r="AB92" s="15"/>
    </row>
    <row r="93" spans="2:28">
      <c r="B93" s="435"/>
      <c r="C93" s="436"/>
      <c r="D93" s="436"/>
      <c r="E93" s="446" t="s">
        <v>284</v>
      </c>
      <c r="F93" s="436"/>
      <c r="G93" s="436"/>
      <c r="H93" s="436"/>
      <c r="I93" s="436"/>
      <c r="J93" s="436"/>
      <c r="K93" s="436"/>
      <c r="L93" s="436"/>
      <c r="M93" s="437"/>
      <c r="N93" s="437"/>
      <c r="O93" s="437"/>
      <c r="P93" s="437"/>
      <c r="Q93" s="437"/>
      <c r="R93" s="437"/>
      <c r="S93" s="437"/>
      <c r="T93" s="437"/>
      <c r="U93" s="437"/>
      <c r="V93" s="437"/>
      <c r="W93" s="437"/>
      <c r="X93" s="437"/>
      <c r="Y93" s="437"/>
      <c r="Z93" s="437"/>
      <c r="AA93" s="437"/>
      <c r="AB93" s="744"/>
    </row>
    <row r="94" spans="2:28">
      <c r="B94" s="438"/>
      <c r="C94" s="433"/>
      <c r="D94" s="433"/>
      <c r="E94" s="439" t="s">
        <v>286</v>
      </c>
      <c r="F94" s="433"/>
      <c r="G94" s="433"/>
      <c r="H94" s="433"/>
      <c r="I94" s="433"/>
      <c r="J94" s="433"/>
      <c r="K94" s="433"/>
      <c r="L94" s="433"/>
      <c r="M94" s="434"/>
      <c r="N94" s="434"/>
      <c r="O94" s="434"/>
      <c r="P94" s="434"/>
      <c r="Q94" s="434"/>
      <c r="R94" s="434"/>
      <c r="S94" s="434"/>
      <c r="T94" s="434"/>
      <c r="U94" s="434"/>
      <c r="V94" s="433"/>
      <c r="W94" s="433"/>
      <c r="X94" s="433"/>
      <c r="Y94" s="433"/>
      <c r="Z94" s="433"/>
      <c r="AA94" s="433"/>
      <c r="AB94" s="440"/>
    </row>
    <row r="95" spans="2:28">
      <c r="B95" s="438"/>
      <c r="C95" s="433"/>
      <c r="D95" s="433"/>
      <c r="E95" s="439" t="s">
        <v>287</v>
      </c>
      <c r="F95" s="433"/>
      <c r="G95" s="433"/>
      <c r="H95" s="433"/>
      <c r="I95" s="433"/>
      <c r="J95" s="433"/>
      <c r="K95" s="433"/>
      <c r="L95" s="433"/>
      <c r="M95" s="434"/>
      <c r="N95" s="434"/>
      <c r="O95" s="434"/>
      <c r="P95" s="434"/>
      <c r="Q95" s="434"/>
      <c r="R95" s="434"/>
      <c r="S95" s="434"/>
      <c r="T95" s="434"/>
      <c r="U95" s="434"/>
      <c r="V95" s="433"/>
      <c r="W95" s="433"/>
      <c r="X95" s="433"/>
      <c r="Y95" s="433"/>
      <c r="Z95" s="433"/>
      <c r="AA95" s="433"/>
      <c r="AB95" s="440"/>
    </row>
    <row r="96" spans="2:28">
      <c r="B96" s="438"/>
      <c r="C96" s="433"/>
      <c r="D96" s="433"/>
      <c r="E96" s="439" t="s">
        <v>300</v>
      </c>
      <c r="F96" s="433"/>
      <c r="G96" s="433"/>
      <c r="H96" s="433"/>
      <c r="I96" s="433"/>
      <c r="J96" s="433"/>
      <c r="K96" s="433"/>
      <c r="L96" s="433"/>
      <c r="M96" s="434"/>
      <c r="N96" s="434"/>
      <c r="O96" s="434"/>
      <c r="P96" s="434"/>
      <c r="Q96" s="434"/>
      <c r="R96" s="434"/>
      <c r="S96" s="434"/>
      <c r="T96" s="434"/>
      <c r="U96" s="434"/>
      <c r="V96" s="433"/>
      <c r="W96" s="433"/>
      <c r="X96" s="433"/>
      <c r="Y96" s="433"/>
      <c r="Z96" s="433"/>
      <c r="AA96" s="433"/>
      <c r="AB96" s="440"/>
    </row>
    <row r="97" spans="1:29">
      <c r="B97" s="438"/>
      <c r="C97" s="433"/>
      <c r="D97" s="433"/>
      <c r="E97" s="439" t="s">
        <v>301</v>
      </c>
      <c r="F97" s="433"/>
      <c r="G97" s="433"/>
      <c r="H97" s="433"/>
      <c r="I97" s="433"/>
      <c r="J97" s="433"/>
      <c r="K97" s="433"/>
      <c r="L97" s="433"/>
      <c r="M97" s="434"/>
      <c r="N97" s="434"/>
      <c r="O97" s="434"/>
      <c r="P97" s="434"/>
      <c r="Q97" s="434"/>
      <c r="R97" s="434"/>
      <c r="S97" s="434"/>
      <c r="T97" s="434"/>
      <c r="U97" s="434"/>
      <c r="V97" s="433"/>
      <c r="W97" s="433"/>
      <c r="X97" s="433"/>
      <c r="Y97" s="433"/>
      <c r="Z97" s="433"/>
      <c r="AA97" s="433"/>
      <c r="AB97" s="440"/>
    </row>
    <row r="98" spans="1:29">
      <c r="B98" s="438"/>
      <c r="C98" s="433"/>
      <c r="D98" s="433"/>
      <c r="E98" s="439" t="s">
        <v>288</v>
      </c>
      <c r="F98" s="433"/>
      <c r="G98" s="433"/>
      <c r="H98" s="433"/>
      <c r="I98" s="433"/>
      <c r="J98" s="433"/>
      <c r="K98" s="433"/>
      <c r="L98" s="433"/>
      <c r="M98" s="434"/>
      <c r="N98" s="434"/>
      <c r="O98" s="434"/>
      <c r="P98" s="434"/>
      <c r="Q98" s="434"/>
      <c r="R98" s="434"/>
      <c r="S98" s="434"/>
      <c r="T98" s="434"/>
      <c r="U98" s="434"/>
      <c r="V98" s="433"/>
      <c r="W98" s="433"/>
      <c r="X98" s="433"/>
      <c r="Y98" s="433"/>
      <c r="Z98" s="433"/>
      <c r="AA98" s="433"/>
      <c r="AB98" s="440"/>
    </row>
    <row r="99" spans="1:29">
      <c r="B99" s="438"/>
      <c r="C99" s="433"/>
      <c r="D99" s="433"/>
      <c r="E99" s="439" t="s">
        <v>289</v>
      </c>
      <c r="F99" s="433"/>
      <c r="G99" s="433"/>
      <c r="H99" s="433"/>
      <c r="I99" s="433"/>
      <c r="J99" s="433"/>
      <c r="K99" s="433"/>
      <c r="L99" s="433"/>
      <c r="M99" s="434"/>
      <c r="N99" s="434"/>
      <c r="O99" s="434"/>
      <c r="P99" s="434"/>
      <c r="Q99" s="434"/>
      <c r="R99" s="434"/>
      <c r="S99" s="434"/>
      <c r="T99" s="434"/>
      <c r="U99" s="434"/>
      <c r="V99" s="433"/>
      <c r="W99" s="433"/>
      <c r="X99" s="433"/>
      <c r="Y99" s="433"/>
      <c r="Z99" s="433"/>
      <c r="AA99" s="433"/>
      <c r="AB99" s="440"/>
    </row>
    <row r="100" spans="1:29">
      <c r="B100" s="438"/>
      <c r="C100" s="433"/>
      <c r="D100" s="433"/>
      <c r="E100" s="439" t="s">
        <v>290</v>
      </c>
      <c r="F100" s="433"/>
      <c r="G100" s="433"/>
      <c r="H100" s="433"/>
      <c r="I100" s="433"/>
      <c r="J100" s="433"/>
      <c r="K100" s="434"/>
      <c r="L100" s="434"/>
      <c r="M100" s="434"/>
      <c r="N100" s="434"/>
      <c r="O100" s="434"/>
      <c r="P100" s="434"/>
      <c r="Q100" s="434"/>
      <c r="R100" s="434"/>
      <c r="S100" s="434"/>
      <c r="T100" s="434"/>
      <c r="U100" s="434"/>
      <c r="V100" s="433"/>
      <c r="W100" s="433"/>
      <c r="X100" s="433"/>
      <c r="Y100" s="433"/>
      <c r="Z100" s="433"/>
      <c r="AA100" s="433"/>
      <c r="AB100" s="440"/>
    </row>
    <row r="101" spans="1:29" s="669" customFormat="1">
      <c r="B101" s="438"/>
      <c r="C101" s="433"/>
      <c r="D101" s="433"/>
      <c r="E101" s="439" t="s">
        <v>291</v>
      </c>
      <c r="F101" s="433"/>
      <c r="G101" s="433"/>
      <c r="H101" s="433"/>
      <c r="I101" s="433"/>
      <c r="J101" s="433"/>
      <c r="K101" s="434"/>
      <c r="L101" s="434"/>
      <c r="M101" s="434"/>
      <c r="N101" s="434"/>
      <c r="O101" s="434"/>
      <c r="P101" s="434"/>
      <c r="Q101" s="434"/>
      <c r="R101" s="434"/>
      <c r="S101" s="434"/>
      <c r="T101" s="434"/>
      <c r="U101" s="434"/>
      <c r="V101" s="433"/>
      <c r="W101" s="433"/>
      <c r="X101" s="433"/>
      <c r="Y101" s="433"/>
      <c r="Z101" s="433"/>
      <c r="AA101" s="433"/>
      <c r="AB101" s="440"/>
    </row>
    <row r="102" spans="1:29">
      <c r="A102" s="669"/>
      <c r="B102" s="438"/>
      <c r="C102" s="433"/>
      <c r="D102" s="433"/>
      <c r="E102" s="439" t="s">
        <v>292</v>
      </c>
      <c r="F102" s="433"/>
      <c r="G102" s="433"/>
      <c r="H102" s="433"/>
      <c r="I102" s="433"/>
      <c r="J102" s="433"/>
      <c r="K102" s="434"/>
      <c r="L102" s="434"/>
      <c r="M102" s="434"/>
      <c r="N102" s="434"/>
      <c r="O102" s="434"/>
      <c r="P102" s="434"/>
      <c r="Q102" s="434"/>
      <c r="R102" s="434"/>
      <c r="S102" s="434"/>
      <c r="T102" s="434"/>
      <c r="U102" s="434"/>
      <c r="V102" s="433"/>
      <c r="W102" s="433"/>
      <c r="X102" s="433"/>
      <c r="Y102" s="433"/>
      <c r="Z102" s="433"/>
      <c r="AA102" s="433"/>
      <c r="AB102" s="440"/>
      <c r="AC102" s="669"/>
    </row>
    <row r="103" spans="1:29">
      <c r="A103" s="669"/>
      <c r="B103" s="438"/>
      <c r="C103" s="433"/>
      <c r="D103" s="433"/>
      <c r="E103" s="439" t="s">
        <v>285</v>
      </c>
      <c r="F103" s="433"/>
      <c r="G103" s="433"/>
      <c r="H103" s="433"/>
      <c r="I103" s="433"/>
      <c r="J103" s="433"/>
      <c r="K103" s="434"/>
      <c r="L103" s="434"/>
      <c r="M103" s="434"/>
      <c r="N103" s="434"/>
      <c r="O103" s="434"/>
      <c r="P103" s="434"/>
      <c r="Q103" s="434"/>
      <c r="R103" s="434"/>
      <c r="S103" s="434"/>
      <c r="T103" s="434"/>
      <c r="U103" s="434"/>
      <c r="V103" s="433"/>
      <c r="W103" s="433"/>
      <c r="X103" s="433"/>
      <c r="Y103" s="433"/>
      <c r="Z103" s="433"/>
      <c r="AA103" s="433"/>
      <c r="AB103" s="440"/>
      <c r="AC103" s="669"/>
    </row>
    <row r="104" spans="1:29">
      <c r="A104" s="669"/>
      <c r="B104" s="438"/>
      <c r="C104" s="433"/>
      <c r="D104" s="433"/>
      <c r="E104" s="439" t="s">
        <v>474</v>
      </c>
      <c r="F104" s="433"/>
      <c r="G104" s="433"/>
      <c r="H104" s="433"/>
      <c r="I104" s="433"/>
      <c r="J104" s="433"/>
      <c r="K104" s="434"/>
      <c r="L104" s="434"/>
      <c r="M104" s="434"/>
      <c r="N104" s="434"/>
      <c r="O104" s="434"/>
      <c r="P104" s="434"/>
      <c r="Q104" s="434"/>
      <c r="R104" s="434"/>
      <c r="S104" s="434"/>
      <c r="T104" s="434"/>
      <c r="U104" s="434"/>
      <c r="V104" s="433"/>
      <c r="W104" s="433"/>
      <c r="X104" s="433"/>
      <c r="Y104" s="433"/>
      <c r="Z104" s="433"/>
      <c r="AA104" s="433"/>
      <c r="AB104" s="440"/>
      <c r="AC104" s="669"/>
    </row>
    <row r="105" spans="1:29">
      <c r="A105" s="669"/>
      <c r="B105" s="438"/>
      <c r="C105" s="433"/>
      <c r="D105" s="433"/>
      <c r="E105" s="439" t="s">
        <v>475</v>
      </c>
      <c r="F105" s="433"/>
      <c r="G105" s="433"/>
      <c r="H105" s="433"/>
      <c r="I105" s="433"/>
      <c r="J105" s="433"/>
      <c r="K105" s="434"/>
      <c r="L105" s="434"/>
      <c r="M105" s="434"/>
      <c r="N105" s="434"/>
      <c r="O105" s="434"/>
      <c r="P105" s="434"/>
      <c r="Q105" s="434"/>
      <c r="R105" s="434"/>
      <c r="S105" s="434"/>
      <c r="T105" s="434"/>
      <c r="U105" s="434"/>
      <c r="V105" s="433"/>
      <c r="W105" s="433"/>
      <c r="X105" s="433"/>
      <c r="Y105" s="433"/>
      <c r="Z105" s="433"/>
      <c r="AA105" s="433"/>
      <c r="AB105" s="440"/>
      <c r="AC105" s="669"/>
    </row>
    <row r="106" spans="1:29">
      <c r="A106" s="669"/>
      <c r="B106" s="438"/>
      <c r="C106" s="433"/>
      <c r="D106" s="433"/>
      <c r="E106" s="439" t="s">
        <v>473</v>
      </c>
      <c r="F106" s="433"/>
      <c r="G106" s="433"/>
      <c r="H106" s="433"/>
      <c r="I106" s="433"/>
      <c r="J106" s="433"/>
      <c r="K106" s="434"/>
      <c r="L106" s="434"/>
      <c r="M106" s="434"/>
      <c r="N106" s="434"/>
      <c r="O106" s="434"/>
      <c r="P106" s="434"/>
      <c r="Q106" s="434"/>
      <c r="R106" s="434"/>
      <c r="S106" s="434"/>
      <c r="T106" s="434"/>
      <c r="U106" s="434"/>
      <c r="V106" s="433"/>
      <c r="W106" s="433"/>
      <c r="X106" s="433"/>
      <c r="Y106" s="433"/>
      <c r="Z106" s="433"/>
      <c r="AA106" s="433"/>
      <c r="AB106" s="440"/>
      <c r="AC106" s="669"/>
    </row>
    <row r="107" spans="1:29">
      <c r="A107" s="669"/>
      <c r="B107" s="438"/>
      <c r="C107" s="433"/>
      <c r="D107" s="433"/>
      <c r="E107" s="439" t="s">
        <v>481</v>
      </c>
      <c r="F107" s="433"/>
      <c r="G107" s="433"/>
      <c r="H107" s="433"/>
      <c r="I107" s="433"/>
      <c r="J107" s="433"/>
      <c r="K107" s="434"/>
      <c r="L107" s="434"/>
      <c r="M107" s="434"/>
      <c r="N107" s="434"/>
      <c r="O107" s="434"/>
      <c r="P107" s="434"/>
      <c r="Q107" s="434"/>
      <c r="R107" s="434"/>
      <c r="S107" s="434"/>
      <c r="T107" s="434"/>
      <c r="U107" s="434"/>
      <c r="V107" s="433"/>
      <c r="W107" s="433"/>
      <c r="X107" s="433"/>
      <c r="Y107" s="433"/>
      <c r="Z107" s="433"/>
      <c r="AA107" s="433"/>
      <c r="AB107" s="440"/>
      <c r="AC107" s="669"/>
    </row>
    <row r="108" spans="1:29" ht="17" thickBot="1">
      <c r="B108" s="441"/>
      <c r="C108" s="442"/>
      <c r="D108" s="442"/>
      <c r="E108" s="443" t="s">
        <v>472</v>
      </c>
      <c r="F108" s="442"/>
      <c r="G108" s="442"/>
      <c r="H108" s="442"/>
      <c r="I108" s="442"/>
      <c r="J108" s="442"/>
      <c r="K108" s="444"/>
      <c r="L108" s="444"/>
      <c r="M108" s="444"/>
      <c r="N108" s="444"/>
      <c r="O108" s="444"/>
      <c r="P108" s="444"/>
      <c r="Q108" s="444"/>
      <c r="R108" s="444"/>
      <c r="S108" s="444"/>
      <c r="T108" s="444"/>
      <c r="U108" s="444"/>
      <c r="V108" s="442"/>
      <c r="W108" s="442"/>
      <c r="X108" s="442"/>
      <c r="Y108" s="442"/>
      <c r="Z108" s="442"/>
      <c r="AA108" s="442"/>
      <c r="AB108" s="445"/>
    </row>
    <row r="109" spans="1:29">
      <c r="C109" s="669"/>
      <c r="D109" s="669"/>
      <c r="E109" s="672"/>
      <c r="F109" s="669"/>
      <c r="G109" s="673"/>
      <c r="H109" s="669"/>
      <c r="I109" s="669"/>
      <c r="J109" s="669"/>
      <c r="K109" s="669"/>
      <c r="L109" s="669"/>
      <c r="M109" s="674"/>
      <c r="N109" s="669"/>
      <c r="O109" s="669"/>
      <c r="P109" s="669"/>
      <c r="Q109" s="669"/>
      <c r="R109" s="669"/>
      <c r="S109" s="669"/>
      <c r="T109" s="669"/>
      <c r="U109" s="669"/>
      <c r="V109" s="669"/>
      <c r="W109" s="669"/>
      <c r="X109" s="669"/>
      <c r="Y109" s="669"/>
      <c r="Z109" s="669"/>
      <c r="AA109" s="669"/>
      <c r="AB109" s="669"/>
    </row>
    <row r="110" spans="1:29">
      <c r="C110" s="669"/>
      <c r="D110" s="669"/>
      <c r="E110" s="672"/>
      <c r="F110" s="669"/>
      <c r="G110" s="673"/>
      <c r="H110" s="669"/>
      <c r="I110" s="669"/>
      <c r="J110" s="669"/>
      <c r="K110" s="669"/>
      <c r="T110" s="452">
        <f>IF(AND($Q$24="Cost-Based",$Q$25="ITC"),1,0)</f>
        <v>1</v>
      </c>
      <c r="U110" s="669"/>
      <c r="V110" s="669"/>
      <c r="W110" s="669"/>
      <c r="X110" s="669"/>
      <c r="Y110" s="669"/>
      <c r="Z110" s="669"/>
      <c r="AA110" s="669"/>
      <c r="AB110" s="669"/>
    </row>
    <row r="111" spans="1:29">
      <c r="C111" s="669"/>
      <c r="D111" s="669"/>
      <c r="E111" s="672"/>
      <c r="F111" s="669"/>
      <c r="G111" s="673"/>
      <c r="H111" s="669"/>
      <c r="I111" s="669"/>
      <c r="J111" s="669"/>
      <c r="K111" s="669"/>
      <c r="T111" s="17"/>
      <c r="U111" s="669"/>
      <c r="V111" s="669"/>
      <c r="W111" s="669"/>
      <c r="X111" s="669"/>
      <c r="Y111" s="669"/>
      <c r="Z111" s="669"/>
      <c r="AA111" s="669"/>
      <c r="AB111" s="669"/>
    </row>
    <row r="112" spans="1:29">
      <c r="C112" s="669"/>
      <c r="D112" s="669"/>
      <c r="E112" s="669"/>
      <c r="F112" s="669"/>
      <c r="G112" s="669"/>
      <c r="H112" s="669"/>
      <c r="I112" s="669"/>
      <c r="J112" s="669"/>
      <c r="K112" s="669"/>
      <c r="T112" s="17"/>
      <c r="U112" s="669"/>
      <c r="V112" s="669"/>
      <c r="W112" s="669"/>
      <c r="X112" s="669"/>
      <c r="Y112" s="669"/>
      <c r="Z112" s="669"/>
      <c r="AA112" s="669"/>
      <c r="AB112" s="669"/>
    </row>
    <row r="113" spans="20:20">
      <c r="T113" s="24"/>
    </row>
  </sheetData>
  <protectedRanges>
    <protectedRange sqref="Q50 Q9:Q10 Q7" name="Column Q Inputs"/>
    <protectedRange sqref="P80:P81 P84:Z89" name="Depreciation Inputs"/>
    <protectedRange sqref="Q43:Q46 Q67:Q68 Q72 Q75 Q55:Q62 Q38:Q39 Q41 Q48:Q52" name="Column Q Inputs 2"/>
    <protectedRange sqref="G12 G14:G15 G22:G27 G34:G40 G52:G53 G64 G68 G70 G79:G83 G57:G61 G17:G19 G7:G10 G42:G44 G45:G48" name="Column G Inputs"/>
    <protectedRange sqref="Q13:Q15 Q18:Q20 Q29:Q30 Q24:Q26 Q32:Q35" name="Column Q Inputs 1"/>
  </protectedRanges>
  <mergeCells count="10">
    <mergeCell ref="R87:T87"/>
    <mergeCell ref="R88:T88"/>
    <mergeCell ref="R89:T89"/>
    <mergeCell ref="R90:T90"/>
    <mergeCell ref="C2:T2"/>
    <mergeCell ref="R83:T83"/>
    <mergeCell ref="R84:T84"/>
    <mergeCell ref="R85:T85"/>
    <mergeCell ref="R86:T86"/>
    <mergeCell ref="O4:P4"/>
  </mergeCells>
  <conditionalFormatting sqref="C22">
    <cfRule type="expression" dxfId="143" priority="637">
      <formula>$G$22&lt;&gt;""</formula>
    </cfRule>
  </conditionalFormatting>
  <conditionalFormatting sqref="C35">
    <cfRule type="expression" dxfId="142" priority="631">
      <formula>$G$35&gt;=0</formula>
    </cfRule>
  </conditionalFormatting>
  <conditionalFormatting sqref="C23">
    <cfRule type="expression" dxfId="141" priority="458">
      <formula>AND($G$22="Simple",$G$23&gt;0)</formula>
    </cfRule>
    <cfRule type="expression" dxfId="140" priority="628">
      <formula>AND($G$22="Simple",$G$23&lt;=0)</formula>
    </cfRule>
  </conditionalFormatting>
  <conditionalFormatting sqref="C24">
    <cfRule type="expression" dxfId="139" priority="457">
      <formula>AND($G$22="Intermediate",$G$24&gt;0)</formula>
    </cfRule>
    <cfRule type="expression" dxfId="138" priority="627">
      <formula>AND($G$22="Intermediate",$G$24&lt;=0)</formula>
    </cfRule>
  </conditionalFormatting>
  <conditionalFormatting sqref="C80">
    <cfRule type="expression" dxfId="137" priority="211">
      <formula>$G$79="No"</formula>
    </cfRule>
    <cfRule type="expression" dxfId="136" priority="212">
      <formula>$D$80=1</formula>
    </cfRule>
  </conditionalFormatting>
  <conditionalFormatting sqref="C68">
    <cfRule type="expression" dxfId="135" priority="449">
      <formula>$D$68=1</formula>
    </cfRule>
  </conditionalFormatting>
  <conditionalFormatting sqref="L34 G29:H29 K30">
    <cfRule type="expression" dxfId="134" priority="791">
      <formula>$G$22="Complex"</formula>
    </cfRule>
  </conditionalFormatting>
  <conditionalFormatting sqref="C57">
    <cfRule type="expression" dxfId="133" priority="451">
      <formula>$D$57=1</formula>
    </cfRule>
  </conditionalFormatting>
  <conditionalFormatting sqref="G18 E9:I9 E7:E8 F8 G7:G8">
    <cfRule type="expression" dxfId="132" priority="479">
      <formula>#REF!="Solar Thermal Electric"</formula>
    </cfRule>
  </conditionalFormatting>
  <conditionalFormatting sqref="M15">
    <cfRule type="expression" dxfId="131" priority="474">
      <formula>$Q$15&lt;&gt;""</formula>
    </cfRule>
  </conditionalFormatting>
  <conditionalFormatting sqref="M14">
    <cfRule type="expression" dxfId="130" priority="473">
      <formula>$Q$14&lt;&gt;""</formula>
    </cfRule>
  </conditionalFormatting>
  <conditionalFormatting sqref="Q63 E46:G46 E47:H49 E45:H45 E40:H42 E43:G44">
    <cfRule type="expression" dxfId="129" priority="469">
      <formula>$G$34="Simple"</formula>
    </cfRule>
  </conditionalFormatting>
  <conditionalFormatting sqref="C29">
    <cfRule type="expression" dxfId="128" priority="455">
      <formula>AND($G$22="Complex",$G$29&gt;0)</formula>
    </cfRule>
    <cfRule type="expression" dxfId="127" priority="456">
      <formula>$G$22="Complex"</formula>
    </cfRule>
  </conditionalFormatting>
  <conditionalFormatting sqref="C37">
    <cfRule type="expression" dxfId="126" priority="454">
      <formula>$G$37&gt;0</formula>
    </cfRule>
  </conditionalFormatting>
  <conditionalFormatting sqref="C38">
    <cfRule type="expression" dxfId="125" priority="453">
      <formula>AND($G$38&gt;0,$G$38&lt;=$G$19)</formula>
    </cfRule>
  </conditionalFormatting>
  <conditionalFormatting sqref="C39">
    <cfRule type="expression" dxfId="124" priority="452">
      <formula>$G$39&gt;0</formula>
    </cfRule>
  </conditionalFormatting>
  <conditionalFormatting sqref="G63">
    <cfRule type="expression" dxfId="123" priority="436">
      <formula>$G$63="Fail"</formula>
    </cfRule>
  </conditionalFormatting>
  <conditionalFormatting sqref="O68:Q68 S68">
    <cfRule type="expression" dxfId="122" priority="431">
      <formula>$Q$67="Salvage"</formula>
    </cfRule>
  </conditionalFormatting>
  <conditionalFormatting sqref="E52:G54">
    <cfRule type="expression" dxfId="121" priority="409">
      <formula>$G$22="Simple"</formula>
    </cfRule>
  </conditionalFormatting>
  <conditionalFormatting sqref="G66">
    <cfRule type="expression" dxfId="120" priority="377">
      <formula>$G$66="Fail"</formula>
    </cfRule>
  </conditionalFormatting>
  <conditionalFormatting sqref="G23">
    <cfRule type="expression" dxfId="119" priority="341">
      <formula>$G$22="Simple"</formula>
    </cfRule>
  </conditionalFormatting>
  <conditionalFormatting sqref="G28 E24:F28">
    <cfRule type="expression" dxfId="118" priority="340">
      <formula>$G$22="Intermediate"</formula>
    </cfRule>
  </conditionalFormatting>
  <conditionalFormatting sqref="G24 G26:G27">
    <cfRule type="expression" dxfId="117" priority="329">
      <formula>$G$22="Intermediate"</formula>
    </cfRule>
  </conditionalFormatting>
  <conditionalFormatting sqref="G25">
    <cfRule type="expression" dxfId="116" priority="327">
      <formula>$G$22="Intermediate"</formula>
    </cfRule>
    <cfRule type="expression" dxfId="115" priority="328">
      <formula>$G$22="Intermediate"</formula>
    </cfRule>
  </conditionalFormatting>
  <conditionalFormatting sqref="E58:G66 I58:I66">
    <cfRule type="expression" dxfId="114" priority="323">
      <formula>$G$57=0</formula>
    </cfRule>
  </conditionalFormatting>
  <conditionalFormatting sqref="O19:P19">
    <cfRule type="expression" dxfId="113" priority="316">
      <formula>$T$19=1</formula>
    </cfRule>
  </conditionalFormatting>
  <conditionalFormatting sqref="O20:P20">
    <cfRule type="expression" dxfId="112" priority="315">
      <formula>$T$20=1</formula>
    </cfRule>
  </conditionalFormatting>
  <conditionalFormatting sqref="O21">
    <cfRule type="expression" dxfId="111" priority="314">
      <formula>$T$21=1</formula>
    </cfRule>
  </conditionalFormatting>
  <conditionalFormatting sqref="Q19">
    <cfRule type="expression" dxfId="110" priority="311">
      <formula>$T$19=1</formula>
    </cfRule>
  </conditionalFormatting>
  <conditionalFormatting sqref="Q20">
    <cfRule type="expression" dxfId="109" priority="310">
      <formula>$T$20=1</formula>
    </cfRule>
  </conditionalFormatting>
  <conditionalFormatting sqref="P21:Q21">
    <cfRule type="expression" dxfId="108" priority="309">
      <formula>$T$21=1</formula>
    </cfRule>
  </conditionalFormatting>
  <conditionalFormatting sqref="O18:P18">
    <cfRule type="expression" dxfId="107" priority="307">
      <formula>$T$18=1</formula>
    </cfRule>
  </conditionalFormatting>
  <conditionalFormatting sqref="Q18">
    <cfRule type="expression" dxfId="106" priority="306">
      <formula>$T$18=1</formula>
    </cfRule>
  </conditionalFormatting>
  <conditionalFormatting sqref="S32:S33 O32:Q33 S29:S30 O29:Q30">
    <cfRule type="expression" dxfId="105" priority="293">
      <formula>$R$24=1</formula>
    </cfRule>
  </conditionalFormatting>
  <conditionalFormatting sqref="I23">
    <cfRule type="expression" dxfId="104" priority="282">
      <formula>$G$22="Simple"</formula>
    </cfRule>
  </conditionalFormatting>
  <conditionalFormatting sqref="I29">
    <cfRule type="expression" dxfId="103" priority="281">
      <formula>$G$22="Complex"</formula>
    </cfRule>
  </conditionalFormatting>
  <conditionalFormatting sqref="I24:I28">
    <cfRule type="expression" dxfId="102" priority="280">
      <formula>$G$22="Intermediate"</formula>
    </cfRule>
  </conditionalFormatting>
  <conditionalFormatting sqref="I40:I49">
    <cfRule type="expression" dxfId="101" priority="279">
      <formula>$G$34="Intermediate"</formula>
    </cfRule>
  </conditionalFormatting>
  <conditionalFormatting sqref="E23:F23">
    <cfRule type="expression" dxfId="100" priority="273">
      <formula>$G$22="Simple"</formula>
    </cfRule>
  </conditionalFormatting>
  <conditionalFormatting sqref="F29">
    <cfRule type="expression" dxfId="99" priority="270">
      <formula>$G$22="Complex"</formula>
    </cfRule>
  </conditionalFormatting>
  <conditionalFormatting sqref="E29">
    <cfRule type="expression" dxfId="98" priority="269">
      <formula>$G$22="Complex"</formula>
    </cfRule>
  </conditionalFormatting>
  <conditionalFormatting sqref="S18">
    <cfRule type="expression" dxfId="97" priority="258">
      <formula>$T$18=1</formula>
    </cfRule>
  </conditionalFormatting>
  <conditionalFormatting sqref="S19">
    <cfRule type="expression" dxfId="96" priority="257">
      <formula>$T$19=1</formula>
    </cfRule>
  </conditionalFormatting>
  <conditionalFormatting sqref="S20">
    <cfRule type="expression" dxfId="95" priority="256">
      <formula>$T$20=1</formula>
    </cfRule>
  </conditionalFormatting>
  <conditionalFormatting sqref="S21">
    <cfRule type="expression" dxfId="94" priority="255">
      <formula>$T$21=1</formula>
    </cfRule>
  </conditionalFormatting>
  <conditionalFormatting sqref="C63">
    <cfRule type="expression" dxfId="93" priority="254">
      <formula>$G$63="Fail"</formula>
    </cfRule>
  </conditionalFormatting>
  <conditionalFormatting sqref="C66">
    <cfRule type="expression" dxfId="92" priority="253">
      <formula>$G$66="Fail"</formula>
    </cfRule>
  </conditionalFormatting>
  <conditionalFormatting sqref="E69:G69">
    <cfRule type="expression" dxfId="91" priority="252">
      <formula>$G$57=0%</formula>
    </cfRule>
  </conditionalFormatting>
  <conditionalFormatting sqref="C17:C18">
    <cfRule type="expression" dxfId="90" priority="247">
      <formula>$D$17=1</formula>
    </cfRule>
  </conditionalFormatting>
  <conditionalFormatting sqref="M13">
    <cfRule type="expression" dxfId="89" priority="246">
      <formula>$N$13=1</formula>
    </cfRule>
  </conditionalFormatting>
  <conditionalFormatting sqref="C9">
    <cfRule type="expression" dxfId="88" priority="244">
      <formula>$G$9&gt;0</formula>
    </cfRule>
  </conditionalFormatting>
  <conditionalFormatting sqref="C34">
    <cfRule type="expression" dxfId="87" priority="237">
      <formula>$G$34&lt;&gt;""</formula>
    </cfRule>
  </conditionalFormatting>
  <conditionalFormatting sqref="C52">
    <cfRule type="expression" dxfId="86" priority="218">
      <formula>$G$22="Simple"</formula>
    </cfRule>
    <cfRule type="expression" dxfId="85" priority="236">
      <formula>$G$52&lt;=0</formula>
    </cfRule>
  </conditionalFormatting>
  <conditionalFormatting sqref="C53">
    <cfRule type="expression" dxfId="84" priority="217">
      <formula>$G$22="Simple"</formula>
    </cfRule>
    <cfRule type="expression" dxfId="83" priority="233">
      <formula>AND($G$22="Intermediate",$G$53&gt;=0)</formula>
    </cfRule>
  </conditionalFormatting>
  <conditionalFormatting sqref="C58">
    <cfRule type="expression" dxfId="82" priority="216">
      <formula>$G$57=0</formula>
    </cfRule>
    <cfRule type="expression" dxfId="81" priority="232">
      <formula>$D$58=1</formula>
    </cfRule>
  </conditionalFormatting>
  <conditionalFormatting sqref="C59">
    <cfRule type="expression" dxfId="80" priority="229">
      <formula>$D$59=1</formula>
    </cfRule>
  </conditionalFormatting>
  <conditionalFormatting sqref="C61">
    <cfRule type="expression" dxfId="79" priority="228">
      <formula>$G$61&lt;1</formula>
    </cfRule>
  </conditionalFormatting>
  <conditionalFormatting sqref="C64">
    <cfRule type="expression" dxfId="78" priority="227">
      <formula>$G$64&lt;1</formula>
    </cfRule>
  </conditionalFormatting>
  <conditionalFormatting sqref="C60">
    <cfRule type="expression" dxfId="77" priority="226">
      <formula>$D$60=1</formula>
    </cfRule>
  </conditionalFormatting>
  <conditionalFormatting sqref="C63:C64 C66 C58:C61">
    <cfRule type="expression" dxfId="76" priority="215">
      <formula>$G$57=0</formula>
    </cfRule>
  </conditionalFormatting>
  <conditionalFormatting sqref="C70">
    <cfRule type="expression" dxfId="75" priority="214">
      <formula>$G$70&lt;0</formula>
    </cfRule>
  </conditionalFormatting>
  <conditionalFormatting sqref="C79">
    <cfRule type="expression" dxfId="74" priority="213">
      <formula>$G$79=""</formula>
    </cfRule>
  </conditionalFormatting>
  <conditionalFormatting sqref="C82">
    <cfRule type="expression" dxfId="73" priority="204">
      <formula>$G$79="No"</formula>
    </cfRule>
    <cfRule type="expression" dxfId="72" priority="205">
      <formula>$D$82=1</formula>
    </cfRule>
  </conditionalFormatting>
  <conditionalFormatting sqref="C81">
    <cfRule type="expression" dxfId="71" priority="203">
      <formula>$G$81=""</formula>
    </cfRule>
  </conditionalFormatting>
  <conditionalFormatting sqref="C83">
    <cfRule type="expression" dxfId="70" priority="202">
      <formula>$G$83=""</formula>
    </cfRule>
  </conditionalFormatting>
  <conditionalFormatting sqref="M18">
    <cfRule type="expression" dxfId="69" priority="200">
      <formula>$Q$18=""</formula>
    </cfRule>
  </conditionalFormatting>
  <conditionalFormatting sqref="M19">
    <cfRule type="expression" dxfId="68" priority="199">
      <formula>$N$19=1</formula>
    </cfRule>
  </conditionalFormatting>
  <conditionalFormatting sqref="M20">
    <cfRule type="expression" dxfId="67" priority="198">
      <formula>$N$20=1</formula>
    </cfRule>
  </conditionalFormatting>
  <conditionalFormatting sqref="M24">
    <cfRule type="expression" dxfId="66" priority="197">
      <formula>$Q$24=""</formula>
    </cfRule>
  </conditionalFormatting>
  <conditionalFormatting sqref="M25">
    <cfRule type="expression" dxfId="65" priority="196">
      <formula>$Q$25=""</formula>
    </cfRule>
  </conditionalFormatting>
  <conditionalFormatting sqref="M29">
    <cfRule type="expression" dxfId="64" priority="195">
      <formula>$Q$29=""</formula>
    </cfRule>
  </conditionalFormatting>
  <conditionalFormatting sqref="M26 M67 M52 M61 M55 M57 M59 M35 M38:M39 M43">
    <cfRule type="expression" dxfId="63" priority="194">
      <formula>$N26=1</formula>
    </cfRule>
  </conditionalFormatting>
  <conditionalFormatting sqref="M30">
    <cfRule type="expression" dxfId="62" priority="186">
      <formula>$Q$30&lt;0</formula>
    </cfRule>
  </conditionalFormatting>
  <conditionalFormatting sqref="M32">
    <cfRule type="expression" dxfId="61" priority="185">
      <formula>$N$32=1</formula>
    </cfRule>
  </conditionalFormatting>
  <conditionalFormatting sqref="M33">
    <cfRule type="expression" dxfId="60" priority="184">
      <formula>$Q$33=""</formula>
    </cfRule>
  </conditionalFormatting>
  <conditionalFormatting sqref="M72 M75 M50 M34">
    <cfRule type="expression" dxfId="59" priority="182">
      <formula>$Q34&lt;0</formula>
    </cfRule>
  </conditionalFormatting>
  <conditionalFormatting sqref="M41">
    <cfRule type="expression" dxfId="58" priority="178">
      <formula>$N$41=1</formula>
    </cfRule>
  </conditionalFormatting>
  <conditionalFormatting sqref="M46">
    <cfRule type="expression" dxfId="57" priority="177">
      <formula>$Q$46&lt;0</formula>
    </cfRule>
  </conditionalFormatting>
  <conditionalFormatting sqref="M48">
    <cfRule type="expression" dxfId="56" priority="176">
      <formula>$N$48=1</formula>
    </cfRule>
  </conditionalFormatting>
  <conditionalFormatting sqref="M49">
    <cfRule type="expression" dxfId="55" priority="175">
      <formula>$Q$49=""</formula>
    </cfRule>
  </conditionalFormatting>
  <conditionalFormatting sqref="M56 M58 M60 M62">
    <cfRule type="expression" dxfId="54" priority="171">
      <formula>$Q56&gt;=0</formula>
    </cfRule>
  </conditionalFormatting>
  <conditionalFormatting sqref="M68">
    <cfRule type="expression" dxfId="53" priority="159">
      <formula>$Q$67="Salvage"</formula>
    </cfRule>
    <cfRule type="expression" dxfId="52" priority="169">
      <formula>$Q$68&lt;0</formula>
    </cfRule>
  </conditionalFormatting>
  <conditionalFormatting sqref="M77">
    <cfRule type="expression" dxfId="51" priority="166">
      <formula>$Q$77&lt;0</formula>
    </cfRule>
  </conditionalFormatting>
  <conditionalFormatting sqref="M25:M26">
    <cfRule type="expression" dxfId="50" priority="165">
      <formula>$Q$24="Performance-Based"</formula>
    </cfRule>
  </conditionalFormatting>
  <conditionalFormatting sqref="M32:M33 M29:M30">
    <cfRule type="expression" dxfId="49" priority="163">
      <formula>$Q$24="Cost-Based"</formula>
    </cfRule>
  </conditionalFormatting>
  <conditionalFormatting sqref="M43 M48:M49 M46">
    <cfRule type="expression" dxfId="48" priority="160">
      <formula>$R$43=1</formula>
    </cfRule>
  </conditionalFormatting>
  <conditionalFormatting sqref="M84">
    <cfRule type="expression" dxfId="47" priority="155">
      <formula>$N$84=2</formula>
    </cfRule>
    <cfRule type="expression" dxfId="46" priority="156">
      <formula>$N$84=1</formula>
    </cfRule>
  </conditionalFormatting>
  <conditionalFormatting sqref="M85:M89">
    <cfRule type="expression" dxfId="45" priority="151">
      <formula>$N85=2</formula>
    </cfRule>
    <cfRule type="expression" dxfId="44" priority="152">
      <formula>$N85=1</formula>
    </cfRule>
  </conditionalFormatting>
  <conditionalFormatting sqref="O84:R89 AB84:AB90 U84:Z89">
    <cfRule type="expression" dxfId="43" priority="150">
      <formula>$L84=0</formula>
    </cfRule>
  </conditionalFormatting>
  <conditionalFormatting sqref="O90:R90 U90:Z90">
    <cfRule type="expression" dxfId="42" priority="145">
      <formula>$L$90=0</formula>
    </cfRule>
  </conditionalFormatting>
  <conditionalFormatting sqref="C25:C27">
    <cfRule type="expression" dxfId="41" priority="143">
      <formula>$G25&lt;0</formula>
    </cfRule>
  </conditionalFormatting>
  <conditionalFormatting sqref="C40 C42:C48">
    <cfRule type="expression" dxfId="40" priority="140">
      <formula>$G$34="Simple"</formula>
    </cfRule>
  </conditionalFormatting>
  <conditionalFormatting sqref="C40 C42:C43 C47:C48 C45">
    <cfRule type="expression" dxfId="39" priority="137">
      <formula>$G40&lt;0</formula>
    </cfRule>
    <cfRule type="expression" dxfId="38" priority="138">
      <formula>$G40&lt;0</formula>
    </cfRule>
  </conditionalFormatting>
  <conditionalFormatting sqref="C46 C44">
    <cfRule type="expression" dxfId="37" priority="126">
      <formula>$G$46=""</formula>
    </cfRule>
  </conditionalFormatting>
  <conditionalFormatting sqref="C36">
    <cfRule type="expression" dxfId="36" priority="125">
      <formula>$G$36&lt;0</formula>
    </cfRule>
  </conditionalFormatting>
  <conditionalFormatting sqref="C19">
    <cfRule type="expression" dxfId="35" priority="124">
      <formula>$D$19=1</formula>
    </cfRule>
  </conditionalFormatting>
  <conditionalFormatting sqref="I63 I66">
    <cfRule type="expression" dxfId="34" priority="112">
      <formula>$G63="Fail"</formula>
    </cfRule>
  </conditionalFormatting>
  <conditionalFormatting sqref="E63">
    <cfRule type="expression" dxfId="33" priority="107">
      <formula>$G$63="Fail"</formula>
    </cfRule>
  </conditionalFormatting>
  <conditionalFormatting sqref="E66">
    <cfRule type="expression" dxfId="32" priority="106">
      <formula>$G$66="Fail"</formula>
    </cfRule>
  </conditionalFormatting>
  <conditionalFormatting sqref="S43:S44 O48:Q49 O46:Q46 O43:Q44 S48:S49 S46">
    <cfRule type="expression" dxfId="31" priority="104">
      <formula>$R$43=1</formula>
    </cfRule>
  </conditionalFormatting>
  <conditionalFormatting sqref="O45:Q45 S45">
    <cfRule type="expression" dxfId="30" priority="2760">
      <formula>$R$45=1</formula>
    </cfRule>
  </conditionalFormatting>
  <conditionalFormatting sqref="E80:G85 I80:I85">
    <cfRule type="expression" dxfId="29" priority="2843">
      <formula>$G$79="No"</formula>
    </cfRule>
  </conditionalFormatting>
  <conditionalFormatting sqref="M81">
    <cfRule type="expression" dxfId="28" priority="93">
      <formula>$P$80="No"</formula>
    </cfRule>
    <cfRule type="expression" dxfId="27" priority="94">
      <formula>$P$81&lt;0</formula>
    </cfRule>
  </conditionalFormatting>
  <conditionalFormatting sqref="O81:P81">
    <cfRule type="expression" dxfId="26" priority="92">
      <formula>$P$80="No"</formula>
    </cfRule>
  </conditionalFormatting>
  <conditionalFormatting sqref="S81">
    <cfRule type="expression" dxfId="25" priority="91">
      <formula>$P$81="No"</formula>
    </cfRule>
  </conditionalFormatting>
  <conditionalFormatting sqref="M80">
    <cfRule type="expression" dxfId="24" priority="90">
      <formula>$P$80=""</formula>
    </cfRule>
  </conditionalFormatting>
  <conditionalFormatting sqref="O44:Q44 S44">
    <cfRule type="expression" dxfId="23" priority="82">
      <formula>$R$44=1</formula>
    </cfRule>
  </conditionalFormatting>
  <conditionalFormatting sqref="O44:Q44">
    <cfRule type="expression" dxfId="22" priority="81">
      <formula>$Q$44="No"</formula>
    </cfRule>
  </conditionalFormatting>
  <conditionalFormatting sqref="C12">
    <cfRule type="expression" dxfId="21" priority="62">
      <formula>$G$12&gt;0</formula>
    </cfRule>
  </conditionalFormatting>
  <conditionalFormatting sqref="M18:M20">
    <cfRule type="expression" dxfId="20" priority="5672">
      <formula>$G$19=$Q$13</formula>
    </cfRule>
  </conditionalFormatting>
  <conditionalFormatting sqref="L29 K24">
    <cfRule type="expression" dxfId="19" priority="5673">
      <formula>$G$22="Simple"</formula>
    </cfRule>
  </conditionalFormatting>
  <conditionalFormatting sqref="L32:L33 L30 K25:K29">
    <cfRule type="expression" dxfId="18" priority="5675">
      <formula>$G$22="Intermediate"</formula>
    </cfRule>
  </conditionalFormatting>
  <conditionalFormatting sqref="O28:Q28 O25:Q26">
    <cfRule type="expression" dxfId="17" priority="5">
      <formula>$Q$24="Performance-Based"</formula>
    </cfRule>
  </conditionalFormatting>
  <conditionalFormatting sqref="M41 M39">
    <cfRule type="expression" dxfId="16" priority="5922">
      <formula>$R$39=1</formula>
    </cfRule>
  </conditionalFormatting>
  <conditionalFormatting sqref="S41:S42 O41:Q42 S39 O39:Q39">
    <cfRule type="expression" dxfId="15" priority="5938">
      <formula>$R$39=1</formula>
    </cfRule>
  </conditionalFormatting>
  <conditionalFormatting sqref="M45">
    <cfRule type="expression" dxfId="14" priority="6088">
      <formula>$Q$43="Tax Credit"</formula>
    </cfRule>
    <cfRule type="expression" dxfId="13" priority="6089">
      <formula>$Q45=""</formula>
    </cfRule>
  </conditionalFormatting>
  <conditionalFormatting sqref="O40:Q40">
    <cfRule type="expression" dxfId="12" priority="4">
      <formula>$R$39=1</formula>
    </cfRule>
  </conditionalFormatting>
  <conditionalFormatting sqref="O47:Q47">
    <cfRule type="expression" dxfId="11" priority="3">
      <formula>$R$43=1</formula>
    </cfRule>
  </conditionalFormatting>
  <conditionalFormatting sqref="O31:Q31">
    <cfRule type="expression" dxfId="10" priority="2">
      <formula>$R$24=1</formula>
    </cfRule>
  </conditionalFormatting>
  <conditionalFormatting sqref="O27:Q27">
    <cfRule type="expression" dxfId="9" priority="1">
      <formula>$Q$24="Performance-Based"</formula>
    </cfRule>
  </conditionalFormatting>
  <dataValidations count="13">
    <dataValidation type="decimal" errorStyle="warning" operator="greaterThan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 sqref="G65" xr:uid="{00000000-0002-0000-0100-000000000000}">
      <formula1>G64</formula1>
    </dataValidation>
    <dataValidation type="list" allowBlank="1" showInputMessage="1" showErrorMessage="1" sqref="Q45 Q35 G79 Q52 P80" xr:uid="{00000000-0002-0000-0100-000001000000}">
      <formula1>"Yes, No"</formula1>
    </dataValidation>
    <dataValidation type="list" allowBlank="1" showInputMessage="1" showErrorMessage="1" sqref="Q43 Q29" xr:uid="{00000000-0002-0000-0100-000002000000}">
      <formula1>"Cash, Tax Credit"</formula1>
    </dataValidation>
    <dataValidation type="list" allowBlank="1" showInputMessage="1" showErrorMessage="1" sqref="Q38 Q24" xr:uid="{00000000-0002-0000-0100-000003000000}">
      <formula1>"Cost-Based, Performance-Based, Neither"</formula1>
    </dataValidation>
    <dataValidation type="list" allowBlank="1" showInputMessage="1" showErrorMessage="1" sqref="Q67" xr:uid="{00000000-0002-0000-0100-000004000000}">
      <formula1>"Operations, Salvage"</formula1>
    </dataValidation>
    <dataValidation type="list" allowBlank="1" showInputMessage="1" showErrorMessage="1" sqref="G81 G83" xr:uid="{00000000-0002-0000-0100-000005000000}">
      <formula1>"As Generated, Carried Forward"</formula1>
    </dataValidation>
    <dataValidation errorStyle="warning" allowBlank="1" showInputMessage="1" showErrorMessage="1" sqref="G63" xr:uid="{00000000-0002-0000-0100-000006000000}"/>
    <dataValidation errorStyle="warning" operat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_x000a_" sqref="H63 H66" xr:uid="{00000000-0002-0000-0100-000007000000}"/>
    <dataValidation errorStyle="warning" operator="greaterThanOrEqual" allowBlank="1" showInputMessage="1" showErrorMessage="1" errorTitle="test" error="test" sqref="G61" xr:uid="{00000000-0002-0000-0100-000008000000}"/>
    <dataValidation type="list" allowBlank="1" showInputMessage="1" showErrorMessage="1" sqref="G34" xr:uid="{00000000-0002-0000-0100-000009000000}">
      <formula1>"Simple, Intermediate"</formula1>
    </dataValidation>
    <dataValidation type="list" allowBlank="1" showInputMessage="1" showErrorMessage="1" sqref="G22" xr:uid="{00000000-0002-0000-0100-00000A000000}">
      <formula1>"Simple, Intermediate, Complex"</formula1>
    </dataValidation>
    <dataValidation type="list" allowBlank="1" showInputMessage="1" showErrorMessage="1" sqref="Q25" xr:uid="{00000000-0002-0000-0100-00000B000000}">
      <formula1>"ITC, Cash Grant"</formula1>
    </dataValidation>
    <dataValidation type="list" allowBlank="1" showInputMessage="1" showErrorMessage="1" sqref="Q18" xr:uid="{00000000-0002-0000-0100-00000C000000}">
      <formula1>"Year One, Year-by-Year"</formula1>
    </dataValidation>
  </dataValidations>
  <hyperlinks>
    <hyperlink ref="E29" location="'Complex Inputs'!A1" display="'Complex Inputs'!A1" xr:uid="{00000000-0004-0000-0100-000000000000}"/>
    <hyperlink ref="O21" location="'Complex Inputs'!A126" display="'Complex Inputs'!A126" xr:uid="{00000000-0004-0000-0100-000001000000}"/>
    <hyperlink ref="O90" location="'Complex Inputs'!A114" display="'Complex Inputs'!A114" xr:uid="{00000000-0004-0000-0100-000002000000}"/>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75"/>
  <sheetViews>
    <sheetView showGridLines="0" zoomScale="70" zoomScaleNormal="70" workbookViewId="0">
      <pane xSplit="1" ySplit="2" topLeftCell="B3" activePane="bottomRight" state="frozen"/>
      <selection pane="topRight" activeCell="B1" sqref="B1"/>
      <selection pane="bottomLeft" activeCell="A3" sqref="A3"/>
      <selection pane="bottomRight" activeCell="D38" sqref="D38"/>
    </sheetView>
  </sheetViews>
  <sheetFormatPr baseColWidth="10" defaultColWidth="8.83203125" defaultRowHeight="14"/>
  <cols>
    <col min="1" max="1" width="2.5" style="160" customWidth="1"/>
    <col min="2" max="2" width="57.5" style="160" customWidth="1"/>
    <col min="3" max="3" width="15.5" style="160" customWidth="1"/>
    <col min="4" max="4" width="22.6640625" style="160" bestFit="1" customWidth="1"/>
    <col min="5" max="5" width="3.83203125" style="160" customWidth="1"/>
    <col min="6" max="15" width="26.33203125" style="160" bestFit="1" customWidth="1"/>
    <col min="16" max="243" width="9.1640625" style="160"/>
    <col min="244" max="244" width="21.5" style="160" customWidth="1"/>
    <col min="245" max="245" width="16.5" style="160" customWidth="1"/>
    <col min="246" max="246" width="18" style="160" customWidth="1"/>
    <col min="247" max="247" width="23.6640625" style="160" customWidth="1"/>
    <col min="248" max="248" width="26" style="160" customWidth="1"/>
    <col min="249" max="249" width="21.5" style="160" customWidth="1"/>
    <col min="250" max="250" width="20.83203125" style="160" customWidth="1"/>
    <col min="251" max="251" width="0" style="160" hidden="1" customWidth="1"/>
    <col min="252" max="499" width="9.1640625" style="160"/>
    <col min="500" max="500" width="21.5" style="160" customWidth="1"/>
    <col min="501" max="501" width="16.5" style="160" customWidth="1"/>
    <col min="502" max="502" width="18" style="160" customWidth="1"/>
    <col min="503" max="503" width="23.6640625" style="160" customWidth="1"/>
    <col min="504" max="504" width="26" style="160" customWidth="1"/>
    <col min="505" max="505" width="21.5" style="160" customWidth="1"/>
    <col min="506" max="506" width="20.83203125" style="160" customWidth="1"/>
    <col min="507" max="507" width="0" style="160" hidden="1" customWidth="1"/>
    <col min="508" max="755" width="9.1640625" style="160"/>
    <col min="756" max="756" width="21.5" style="160" customWidth="1"/>
    <col min="757" max="757" width="16.5" style="160" customWidth="1"/>
    <col min="758" max="758" width="18" style="160" customWidth="1"/>
    <col min="759" max="759" width="23.6640625" style="160" customWidth="1"/>
    <col min="760" max="760" width="26" style="160" customWidth="1"/>
    <col min="761" max="761" width="21.5" style="160" customWidth="1"/>
    <col min="762" max="762" width="20.83203125" style="160" customWidth="1"/>
    <col min="763" max="763" width="0" style="160" hidden="1" customWidth="1"/>
    <col min="764" max="1011" width="9.1640625" style="160"/>
    <col min="1012" max="1012" width="21.5" style="160" customWidth="1"/>
    <col min="1013" max="1013" width="16.5" style="160" customWidth="1"/>
    <col min="1014" max="1014" width="18" style="160" customWidth="1"/>
    <col min="1015" max="1015" width="23.6640625" style="160" customWidth="1"/>
    <col min="1016" max="1016" width="26" style="160" customWidth="1"/>
    <col min="1017" max="1017" width="21.5" style="160" customWidth="1"/>
    <col min="1018" max="1018" width="20.83203125" style="160" customWidth="1"/>
    <col min="1019" max="1019" width="0" style="160" hidden="1" customWidth="1"/>
    <col min="1020" max="1267" width="9.1640625" style="160"/>
    <col min="1268" max="1268" width="21.5" style="160" customWidth="1"/>
    <col min="1269" max="1269" width="16.5" style="160" customWidth="1"/>
    <col min="1270" max="1270" width="18" style="160" customWidth="1"/>
    <col min="1271" max="1271" width="23.6640625" style="160" customWidth="1"/>
    <col min="1272" max="1272" width="26" style="160" customWidth="1"/>
    <col min="1273" max="1273" width="21.5" style="160" customWidth="1"/>
    <col min="1274" max="1274" width="20.83203125" style="160" customWidth="1"/>
    <col min="1275" max="1275" width="0" style="160" hidden="1" customWidth="1"/>
    <col min="1276" max="1523" width="9.1640625" style="160"/>
    <col min="1524" max="1524" width="21.5" style="160" customWidth="1"/>
    <col min="1525" max="1525" width="16.5" style="160" customWidth="1"/>
    <col min="1526" max="1526" width="18" style="160" customWidth="1"/>
    <col min="1527" max="1527" width="23.6640625" style="160" customWidth="1"/>
    <col min="1528" max="1528" width="26" style="160" customWidth="1"/>
    <col min="1529" max="1529" width="21.5" style="160" customWidth="1"/>
    <col min="1530" max="1530" width="20.83203125" style="160" customWidth="1"/>
    <col min="1531" max="1531" width="0" style="160" hidden="1" customWidth="1"/>
    <col min="1532" max="1779" width="9.1640625" style="160"/>
    <col min="1780" max="1780" width="21.5" style="160" customWidth="1"/>
    <col min="1781" max="1781" width="16.5" style="160" customWidth="1"/>
    <col min="1782" max="1782" width="18" style="160" customWidth="1"/>
    <col min="1783" max="1783" width="23.6640625" style="160" customWidth="1"/>
    <col min="1784" max="1784" width="26" style="160" customWidth="1"/>
    <col min="1785" max="1785" width="21.5" style="160" customWidth="1"/>
    <col min="1786" max="1786" width="20.83203125" style="160" customWidth="1"/>
    <col min="1787" max="1787" width="0" style="160" hidden="1" customWidth="1"/>
    <col min="1788" max="2035" width="9.1640625" style="160"/>
    <col min="2036" max="2036" width="21.5" style="160" customWidth="1"/>
    <col min="2037" max="2037" width="16.5" style="160" customWidth="1"/>
    <col min="2038" max="2038" width="18" style="160" customWidth="1"/>
    <col min="2039" max="2039" width="23.6640625" style="160" customWidth="1"/>
    <col min="2040" max="2040" width="26" style="160" customWidth="1"/>
    <col min="2041" max="2041" width="21.5" style="160" customWidth="1"/>
    <col min="2042" max="2042" width="20.83203125" style="160" customWidth="1"/>
    <col min="2043" max="2043" width="0" style="160" hidden="1" customWidth="1"/>
    <col min="2044" max="2291" width="9.1640625" style="160"/>
    <col min="2292" max="2292" width="21.5" style="160" customWidth="1"/>
    <col min="2293" max="2293" width="16.5" style="160" customWidth="1"/>
    <col min="2294" max="2294" width="18" style="160" customWidth="1"/>
    <col min="2295" max="2295" width="23.6640625" style="160" customWidth="1"/>
    <col min="2296" max="2296" width="26" style="160" customWidth="1"/>
    <col min="2297" max="2297" width="21.5" style="160" customWidth="1"/>
    <col min="2298" max="2298" width="20.83203125" style="160" customWidth="1"/>
    <col min="2299" max="2299" width="0" style="160" hidden="1" customWidth="1"/>
    <col min="2300" max="2547" width="9.1640625" style="160"/>
    <col min="2548" max="2548" width="21.5" style="160" customWidth="1"/>
    <col min="2549" max="2549" width="16.5" style="160" customWidth="1"/>
    <col min="2550" max="2550" width="18" style="160" customWidth="1"/>
    <col min="2551" max="2551" width="23.6640625" style="160" customWidth="1"/>
    <col min="2552" max="2552" width="26" style="160" customWidth="1"/>
    <col min="2553" max="2553" width="21.5" style="160" customWidth="1"/>
    <col min="2554" max="2554" width="20.83203125" style="160" customWidth="1"/>
    <col min="2555" max="2555" width="0" style="160" hidden="1" customWidth="1"/>
    <col min="2556" max="2803" width="9.1640625" style="160"/>
    <col min="2804" max="2804" width="21.5" style="160" customWidth="1"/>
    <col min="2805" max="2805" width="16.5" style="160" customWidth="1"/>
    <col min="2806" max="2806" width="18" style="160" customWidth="1"/>
    <col min="2807" max="2807" width="23.6640625" style="160" customWidth="1"/>
    <col min="2808" max="2808" width="26" style="160" customWidth="1"/>
    <col min="2809" max="2809" width="21.5" style="160" customWidth="1"/>
    <col min="2810" max="2810" width="20.83203125" style="160" customWidth="1"/>
    <col min="2811" max="2811" width="0" style="160" hidden="1" customWidth="1"/>
    <col min="2812" max="3059" width="9.1640625" style="160"/>
    <col min="3060" max="3060" width="21.5" style="160" customWidth="1"/>
    <col min="3061" max="3061" width="16.5" style="160" customWidth="1"/>
    <col min="3062" max="3062" width="18" style="160" customWidth="1"/>
    <col min="3063" max="3063" width="23.6640625" style="160" customWidth="1"/>
    <col min="3064" max="3064" width="26" style="160" customWidth="1"/>
    <col min="3065" max="3065" width="21.5" style="160" customWidth="1"/>
    <col min="3066" max="3066" width="20.83203125" style="160" customWidth="1"/>
    <col min="3067" max="3067" width="0" style="160" hidden="1" customWidth="1"/>
    <col min="3068" max="3315" width="9.1640625" style="160"/>
    <col min="3316" max="3316" width="21.5" style="160" customWidth="1"/>
    <col min="3317" max="3317" width="16.5" style="160" customWidth="1"/>
    <col min="3318" max="3318" width="18" style="160" customWidth="1"/>
    <col min="3319" max="3319" width="23.6640625" style="160" customWidth="1"/>
    <col min="3320" max="3320" width="26" style="160" customWidth="1"/>
    <col min="3321" max="3321" width="21.5" style="160" customWidth="1"/>
    <col min="3322" max="3322" width="20.83203125" style="160" customWidth="1"/>
    <col min="3323" max="3323" width="0" style="160" hidden="1" customWidth="1"/>
    <col min="3324" max="3571" width="9.1640625" style="160"/>
    <col min="3572" max="3572" width="21.5" style="160" customWidth="1"/>
    <col min="3573" max="3573" width="16.5" style="160" customWidth="1"/>
    <col min="3574" max="3574" width="18" style="160" customWidth="1"/>
    <col min="3575" max="3575" width="23.6640625" style="160" customWidth="1"/>
    <col min="3576" max="3576" width="26" style="160" customWidth="1"/>
    <col min="3577" max="3577" width="21.5" style="160" customWidth="1"/>
    <col min="3578" max="3578" width="20.83203125" style="160" customWidth="1"/>
    <col min="3579" max="3579" width="0" style="160" hidden="1" customWidth="1"/>
    <col min="3580" max="3827" width="9.1640625" style="160"/>
    <col min="3828" max="3828" width="21.5" style="160" customWidth="1"/>
    <col min="3829" max="3829" width="16.5" style="160" customWidth="1"/>
    <col min="3830" max="3830" width="18" style="160" customWidth="1"/>
    <col min="3831" max="3831" width="23.6640625" style="160" customWidth="1"/>
    <col min="3832" max="3832" width="26" style="160" customWidth="1"/>
    <col min="3833" max="3833" width="21.5" style="160" customWidth="1"/>
    <col min="3834" max="3834" width="20.83203125" style="160" customWidth="1"/>
    <col min="3835" max="3835" width="0" style="160" hidden="1" customWidth="1"/>
    <col min="3836" max="4083" width="9.1640625" style="160"/>
    <col min="4084" max="4084" width="21.5" style="160" customWidth="1"/>
    <col min="4085" max="4085" width="16.5" style="160" customWidth="1"/>
    <col min="4086" max="4086" width="18" style="160" customWidth="1"/>
    <col min="4087" max="4087" width="23.6640625" style="160" customWidth="1"/>
    <col min="4088" max="4088" width="26" style="160" customWidth="1"/>
    <col min="4089" max="4089" width="21.5" style="160" customWidth="1"/>
    <col min="4090" max="4090" width="20.83203125" style="160" customWidth="1"/>
    <col min="4091" max="4091" width="0" style="160" hidden="1" customWidth="1"/>
    <col min="4092" max="4339" width="9.1640625" style="160"/>
    <col min="4340" max="4340" width="21.5" style="160" customWidth="1"/>
    <col min="4341" max="4341" width="16.5" style="160" customWidth="1"/>
    <col min="4342" max="4342" width="18" style="160" customWidth="1"/>
    <col min="4343" max="4343" width="23.6640625" style="160" customWidth="1"/>
    <col min="4344" max="4344" width="26" style="160" customWidth="1"/>
    <col min="4345" max="4345" width="21.5" style="160" customWidth="1"/>
    <col min="4346" max="4346" width="20.83203125" style="160" customWidth="1"/>
    <col min="4347" max="4347" width="0" style="160" hidden="1" customWidth="1"/>
    <col min="4348" max="4595" width="9.1640625" style="160"/>
    <col min="4596" max="4596" width="21.5" style="160" customWidth="1"/>
    <col min="4597" max="4597" width="16.5" style="160" customWidth="1"/>
    <col min="4598" max="4598" width="18" style="160" customWidth="1"/>
    <col min="4599" max="4599" width="23.6640625" style="160" customWidth="1"/>
    <col min="4600" max="4600" width="26" style="160" customWidth="1"/>
    <col min="4601" max="4601" width="21.5" style="160" customWidth="1"/>
    <col min="4602" max="4602" width="20.83203125" style="160" customWidth="1"/>
    <col min="4603" max="4603" width="0" style="160" hidden="1" customWidth="1"/>
    <col min="4604" max="4851" width="9.1640625" style="160"/>
    <col min="4852" max="4852" width="21.5" style="160" customWidth="1"/>
    <col min="4853" max="4853" width="16.5" style="160" customWidth="1"/>
    <col min="4854" max="4854" width="18" style="160" customWidth="1"/>
    <col min="4855" max="4855" width="23.6640625" style="160" customWidth="1"/>
    <col min="4856" max="4856" width="26" style="160" customWidth="1"/>
    <col min="4857" max="4857" width="21.5" style="160" customWidth="1"/>
    <col min="4858" max="4858" width="20.83203125" style="160" customWidth="1"/>
    <col min="4859" max="4859" width="0" style="160" hidden="1" customWidth="1"/>
    <col min="4860" max="5107" width="9.1640625" style="160"/>
    <col min="5108" max="5108" width="21.5" style="160" customWidth="1"/>
    <col min="5109" max="5109" width="16.5" style="160" customWidth="1"/>
    <col min="5110" max="5110" width="18" style="160" customWidth="1"/>
    <col min="5111" max="5111" width="23.6640625" style="160" customWidth="1"/>
    <col min="5112" max="5112" width="26" style="160" customWidth="1"/>
    <col min="5113" max="5113" width="21.5" style="160" customWidth="1"/>
    <col min="5114" max="5114" width="20.83203125" style="160" customWidth="1"/>
    <col min="5115" max="5115" width="0" style="160" hidden="1" customWidth="1"/>
    <col min="5116" max="5363" width="9.1640625" style="160"/>
    <col min="5364" max="5364" width="21.5" style="160" customWidth="1"/>
    <col min="5365" max="5365" width="16.5" style="160" customWidth="1"/>
    <col min="5366" max="5366" width="18" style="160" customWidth="1"/>
    <col min="5367" max="5367" width="23.6640625" style="160" customWidth="1"/>
    <col min="5368" max="5368" width="26" style="160" customWidth="1"/>
    <col min="5369" max="5369" width="21.5" style="160" customWidth="1"/>
    <col min="5370" max="5370" width="20.83203125" style="160" customWidth="1"/>
    <col min="5371" max="5371" width="0" style="160" hidden="1" customWidth="1"/>
    <col min="5372" max="5619" width="9.1640625" style="160"/>
    <col min="5620" max="5620" width="21.5" style="160" customWidth="1"/>
    <col min="5621" max="5621" width="16.5" style="160" customWidth="1"/>
    <col min="5622" max="5622" width="18" style="160" customWidth="1"/>
    <col min="5623" max="5623" width="23.6640625" style="160" customWidth="1"/>
    <col min="5624" max="5624" width="26" style="160" customWidth="1"/>
    <col min="5625" max="5625" width="21.5" style="160" customWidth="1"/>
    <col min="5626" max="5626" width="20.83203125" style="160" customWidth="1"/>
    <col min="5627" max="5627" width="0" style="160" hidden="1" customWidth="1"/>
    <col min="5628" max="5875" width="9.1640625" style="160"/>
    <col min="5876" max="5876" width="21.5" style="160" customWidth="1"/>
    <col min="5877" max="5877" width="16.5" style="160" customWidth="1"/>
    <col min="5878" max="5878" width="18" style="160" customWidth="1"/>
    <col min="5879" max="5879" width="23.6640625" style="160" customWidth="1"/>
    <col min="5880" max="5880" width="26" style="160" customWidth="1"/>
    <col min="5881" max="5881" width="21.5" style="160" customWidth="1"/>
    <col min="5882" max="5882" width="20.83203125" style="160" customWidth="1"/>
    <col min="5883" max="5883" width="0" style="160" hidden="1" customWidth="1"/>
    <col min="5884" max="6131" width="9.1640625" style="160"/>
    <col min="6132" max="6132" width="21.5" style="160" customWidth="1"/>
    <col min="6133" max="6133" width="16.5" style="160" customWidth="1"/>
    <col min="6134" max="6134" width="18" style="160" customWidth="1"/>
    <col min="6135" max="6135" width="23.6640625" style="160" customWidth="1"/>
    <col min="6136" max="6136" width="26" style="160" customWidth="1"/>
    <col min="6137" max="6137" width="21.5" style="160" customWidth="1"/>
    <col min="6138" max="6138" width="20.83203125" style="160" customWidth="1"/>
    <col min="6139" max="6139" width="0" style="160" hidden="1" customWidth="1"/>
    <col min="6140" max="6387" width="9.1640625" style="160"/>
    <col min="6388" max="6388" width="21.5" style="160" customWidth="1"/>
    <col min="6389" max="6389" width="16.5" style="160" customWidth="1"/>
    <col min="6390" max="6390" width="18" style="160" customWidth="1"/>
    <col min="6391" max="6391" width="23.6640625" style="160" customWidth="1"/>
    <col min="6392" max="6392" width="26" style="160" customWidth="1"/>
    <col min="6393" max="6393" width="21.5" style="160" customWidth="1"/>
    <col min="6394" max="6394" width="20.83203125" style="160" customWidth="1"/>
    <col min="6395" max="6395" width="0" style="160" hidden="1" customWidth="1"/>
    <col min="6396" max="6643" width="9.1640625" style="160"/>
    <col min="6644" max="6644" width="21.5" style="160" customWidth="1"/>
    <col min="6645" max="6645" width="16.5" style="160" customWidth="1"/>
    <col min="6646" max="6646" width="18" style="160" customWidth="1"/>
    <col min="6647" max="6647" width="23.6640625" style="160" customWidth="1"/>
    <col min="6648" max="6648" width="26" style="160" customWidth="1"/>
    <col min="6649" max="6649" width="21.5" style="160" customWidth="1"/>
    <col min="6650" max="6650" width="20.83203125" style="160" customWidth="1"/>
    <col min="6651" max="6651" width="0" style="160" hidden="1" customWidth="1"/>
    <col min="6652" max="6899" width="9.1640625" style="160"/>
    <col min="6900" max="6900" width="21.5" style="160" customWidth="1"/>
    <col min="6901" max="6901" width="16.5" style="160" customWidth="1"/>
    <col min="6902" max="6902" width="18" style="160" customWidth="1"/>
    <col min="6903" max="6903" width="23.6640625" style="160" customWidth="1"/>
    <col min="6904" max="6904" width="26" style="160" customWidth="1"/>
    <col min="6905" max="6905" width="21.5" style="160" customWidth="1"/>
    <col min="6906" max="6906" width="20.83203125" style="160" customWidth="1"/>
    <col min="6907" max="6907" width="0" style="160" hidden="1" customWidth="1"/>
    <col min="6908" max="7155" width="9.1640625" style="160"/>
    <col min="7156" max="7156" width="21.5" style="160" customWidth="1"/>
    <col min="7157" max="7157" width="16.5" style="160" customWidth="1"/>
    <col min="7158" max="7158" width="18" style="160" customWidth="1"/>
    <col min="7159" max="7159" width="23.6640625" style="160" customWidth="1"/>
    <col min="7160" max="7160" width="26" style="160" customWidth="1"/>
    <col min="7161" max="7161" width="21.5" style="160" customWidth="1"/>
    <col min="7162" max="7162" width="20.83203125" style="160" customWidth="1"/>
    <col min="7163" max="7163" width="0" style="160" hidden="1" customWidth="1"/>
    <col min="7164" max="7411" width="9.1640625" style="160"/>
    <col min="7412" max="7412" width="21.5" style="160" customWidth="1"/>
    <col min="7413" max="7413" width="16.5" style="160" customWidth="1"/>
    <col min="7414" max="7414" width="18" style="160" customWidth="1"/>
    <col min="7415" max="7415" width="23.6640625" style="160" customWidth="1"/>
    <col min="7416" max="7416" width="26" style="160" customWidth="1"/>
    <col min="7417" max="7417" width="21.5" style="160" customWidth="1"/>
    <col min="7418" max="7418" width="20.83203125" style="160" customWidth="1"/>
    <col min="7419" max="7419" width="0" style="160" hidden="1" customWidth="1"/>
    <col min="7420" max="7667" width="9.1640625" style="160"/>
    <col min="7668" max="7668" width="21.5" style="160" customWidth="1"/>
    <col min="7669" max="7669" width="16.5" style="160" customWidth="1"/>
    <col min="7670" max="7670" width="18" style="160" customWidth="1"/>
    <col min="7671" max="7671" width="23.6640625" style="160" customWidth="1"/>
    <col min="7672" max="7672" width="26" style="160" customWidth="1"/>
    <col min="7673" max="7673" width="21.5" style="160" customWidth="1"/>
    <col min="7674" max="7674" width="20.83203125" style="160" customWidth="1"/>
    <col min="7675" max="7675" width="0" style="160" hidden="1" customWidth="1"/>
    <col min="7676" max="7923" width="9.1640625" style="160"/>
    <col min="7924" max="7924" width="21.5" style="160" customWidth="1"/>
    <col min="7925" max="7925" width="16.5" style="160" customWidth="1"/>
    <col min="7926" max="7926" width="18" style="160" customWidth="1"/>
    <col min="7927" max="7927" width="23.6640625" style="160" customWidth="1"/>
    <col min="7928" max="7928" width="26" style="160" customWidth="1"/>
    <col min="7929" max="7929" width="21.5" style="160" customWidth="1"/>
    <col min="7930" max="7930" width="20.83203125" style="160" customWidth="1"/>
    <col min="7931" max="7931" width="0" style="160" hidden="1" customWidth="1"/>
    <col min="7932" max="8179" width="9.1640625" style="160"/>
    <col min="8180" max="8180" width="21.5" style="160" customWidth="1"/>
    <col min="8181" max="8181" width="16.5" style="160" customWidth="1"/>
    <col min="8182" max="8182" width="18" style="160" customWidth="1"/>
    <col min="8183" max="8183" width="23.6640625" style="160" customWidth="1"/>
    <col min="8184" max="8184" width="26" style="160" customWidth="1"/>
    <col min="8185" max="8185" width="21.5" style="160" customWidth="1"/>
    <col min="8186" max="8186" width="20.83203125" style="160" customWidth="1"/>
    <col min="8187" max="8187" width="0" style="160" hidden="1" customWidth="1"/>
    <col min="8188" max="8435" width="9.1640625" style="160"/>
    <col min="8436" max="8436" width="21.5" style="160" customWidth="1"/>
    <col min="8437" max="8437" width="16.5" style="160" customWidth="1"/>
    <col min="8438" max="8438" width="18" style="160" customWidth="1"/>
    <col min="8439" max="8439" width="23.6640625" style="160" customWidth="1"/>
    <col min="8440" max="8440" width="26" style="160" customWidth="1"/>
    <col min="8441" max="8441" width="21.5" style="160" customWidth="1"/>
    <col min="8442" max="8442" width="20.83203125" style="160" customWidth="1"/>
    <col min="8443" max="8443" width="0" style="160" hidden="1" customWidth="1"/>
    <col min="8444" max="8691" width="9.1640625" style="160"/>
    <col min="8692" max="8692" width="21.5" style="160" customWidth="1"/>
    <col min="8693" max="8693" width="16.5" style="160" customWidth="1"/>
    <col min="8694" max="8694" width="18" style="160" customWidth="1"/>
    <col min="8695" max="8695" width="23.6640625" style="160" customWidth="1"/>
    <col min="8696" max="8696" width="26" style="160" customWidth="1"/>
    <col min="8697" max="8697" width="21.5" style="160" customWidth="1"/>
    <col min="8698" max="8698" width="20.83203125" style="160" customWidth="1"/>
    <col min="8699" max="8699" width="0" style="160" hidden="1" customWidth="1"/>
    <col min="8700" max="8947" width="9.1640625" style="160"/>
    <col min="8948" max="8948" width="21.5" style="160" customWidth="1"/>
    <col min="8949" max="8949" width="16.5" style="160" customWidth="1"/>
    <col min="8950" max="8950" width="18" style="160" customWidth="1"/>
    <col min="8951" max="8951" width="23.6640625" style="160" customWidth="1"/>
    <col min="8952" max="8952" width="26" style="160" customWidth="1"/>
    <col min="8953" max="8953" width="21.5" style="160" customWidth="1"/>
    <col min="8954" max="8954" width="20.83203125" style="160" customWidth="1"/>
    <col min="8955" max="8955" width="0" style="160" hidden="1" customWidth="1"/>
    <col min="8956" max="9203" width="9.1640625" style="160"/>
    <col min="9204" max="9204" width="21.5" style="160" customWidth="1"/>
    <col min="9205" max="9205" width="16.5" style="160" customWidth="1"/>
    <col min="9206" max="9206" width="18" style="160" customWidth="1"/>
    <col min="9207" max="9207" width="23.6640625" style="160" customWidth="1"/>
    <col min="9208" max="9208" width="26" style="160" customWidth="1"/>
    <col min="9209" max="9209" width="21.5" style="160" customWidth="1"/>
    <col min="9210" max="9210" width="20.83203125" style="160" customWidth="1"/>
    <col min="9211" max="9211" width="0" style="160" hidden="1" customWidth="1"/>
    <col min="9212" max="9459" width="9.1640625" style="160"/>
    <col min="9460" max="9460" width="21.5" style="160" customWidth="1"/>
    <col min="9461" max="9461" width="16.5" style="160" customWidth="1"/>
    <col min="9462" max="9462" width="18" style="160" customWidth="1"/>
    <col min="9463" max="9463" width="23.6640625" style="160" customWidth="1"/>
    <col min="9464" max="9464" width="26" style="160" customWidth="1"/>
    <col min="9465" max="9465" width="21.5" style="160" customWidth="1"/>
    <col min="9466" max="9466" width="20.83203125" style="160" customWidth="1"/>
    <col min="9467" max="9467" width="0" style="160" hidden="1" customWidth="1"/>
    <col min="9468" max="9715" width="9.1640625" style="160"/>
    <col min="9716" max="9716" width="21.5" style="160" customWidth="1"/>
    <col min="9717" max="9717" width="16.5" style="160" customWidth="1"/>
    <col min="9718" max="9718" width="18" style="160" customWidth="1"/>
    <col min="9719" max="9719" width="23.6640625" style="160" customWidth="1"/>
    <col min="9720" max="9720" width="26" style="160" customWidth="1"/>
    <col min="9721" max="9721" width="21.5" style="160" customWidth="1"/>
    <col min="9722" max="9722" width="20.83203125" style="160" customWidth="1"/>
    <col min="9723" max="9723" width="0" style="160" hidden="1" customWidth="1"/>
    <col min="9724" max="9971" width="9.1640625" style="160"/>
    <col min="9972" max="9972" width="21.5" style="160" customWidth="1"/>
    <col min="9973" max="9973" width="16.5" style="160" customWidth="1"/>
    <col min="9974" max="9974" width="18" style="160" customWidth="1"/>
    <col min="9975" max="9975" width="23.6640625" style="160" customWidth="1"/>
    <col min="9976" max="9976" width="26" style="160" customWidth="1"/>
    <col min="9977" max="9977" width="21.5" style="160" customWidth="1"/>
    <col min="9978" max="9978" width="20.83203125" style="160" customWidth="1"/>
    <col min="9979" max="9979" width="0" style="160" hidden="1" customWidth="1"/>
    <col min="9980" max="10227" width="9.1640625" style="160"/>
    <col min="10228" max="10228" width="21.5" style="160" customWidth="1"/>
    <col min="10229" max="10229" width="16.5" style="160" customWidth="1"/>
    <col min="10230" max="10230" width="18" style="160" customWidth="1"/>
    <col min="10231" max="10231" width="23.6640625" style="160" customWidth="1"/>
    <col min="10232" max="10232" width="26" style="160" customWidth="1"/>
    <col min="10233" max="10233" width="21.5" style="160" customWidth="1"/>
    <col min="10234" max="10234" width="20.83203125" style="160" customWidth="1"/>
    <col min="10235" max="10235" width="0" style="160" hidden="1" customWidth="1"/>
    <col min="10236" max="10483" width="9.1640625" style="160"/>
    <col min="10484" max="10484" width="21.5" style="160" customWidth="1"/>
    <col min="10485" max="10485" width="16.5" style="160" customWidth="1"/>
    <col min="10486" max="10486" width="18" style="160" customWidth="1"/>
    <col min="10487" max="10487" width="23.6640625" style="160" customWidth="1"/>
    <col min="10488" max="10488" width="26" style="160" customWidth="1"/>
    <col min="10489" max="10489" width="21.5" style="160" customWidth="1"/>
    <col min="10490" max="10490" width="20.83203125" style="160" customWidth="1"/>
    <col min="10491" max="10491" width="0" style="160" hidden="1" customWidth="1"/>
    <col min="10492" max="10739" width="9.1640625" style="160"/>
    <col min="10740" max="10740" width="21.5" style="160" customWidth="1"/>
    <col min="10741" max="10741" width="16.5" style="160" customWidth="1"/>
    <col min="10742" max="10742" width="18" style="160" customWidth="1"/>
    <col min="10743" max="10743" width="23.6640625" style="160" customWidth="1"/>
    <col min="10744" max="10744" width="26" style="160" customWidth="1"/>
    <col min="10745" max="10745" width="21.5" style="160" customWidth="1"/>
    <col min="10746" max="10746" width="20.83203125" style="160" customWidth="1"/>
    <col min="10747" max="10747" width="0" style="160" hidden="1" customWidth="1"/>
    <col min="10748" max="10995" width="9.1640625" style="160"/>
    <col min="10996" max="10996" width="21.5" style="160" customWidth="1"/>
    <col min="10997" max="10997" width="16.5" style="160" customWidth="1"/>
    <col min="10998" max="10998" width="18" style="160" customWidth="1"/>
    <col min="10999" max="10999" width="23.6640625" style="160" customWidth="1"/>
    <col min="11000" max="11000" width="26" style="160" customWidth="1"/>
    <col min="11001" max="11001" width="21.5" style="160" customWidth="1"/>
    <col min="11002" max="11002" width="20.83203125" style="160" customWidth="1"/>
    <col min="11003" max="11003" width="0" style="160" hidden="1" customWidth="1"/>
    <col min="11004" max="11251" width="9.1640625" style="160"/>
    <col min="11252" max="11252" width="21.5" style="160" customWidth="1"/>
    <col min="11253" max="11253" width="16.5" style="160" customWidth="1"/>
    <col min="11254" max="11254" width="18" style="160" customWidth="1"/>
    <col min="11255" max="11255" width="23.6640625" style="160" customWidth="1"/>
    <col min="11256" max="11256" width="26" style="160" customWidth="1"/>
    <col min="11257" max="11257" width="21.5" style="160" customWidth="1"/>
    <col min="11258" max="11258" width="20.83203125" style="160" customWidth="1"/>
    <col min="11259" max="11259" width="0" style="160" hidden="1" customWidth="1"/>
    <col min="11260" max="11507" width="9.1640625" style="160"/>
    <col min="11508" max="11508" width="21.5" style="160" customWidth="1"/>
    <col min="11509" max="11509" width="16.5" style="160" customWidth="1"/>
    <col min="11510" max="11510" width="18" style="160" customWidth="1"/>
    <col min="11511" max="11511" width="23.6640625" style="160" customWidth="1"/>
    <col min="11512" max="11512" width="26" style="160" customWidth="1"/>
    <col min="11513" max="11513" width="21.5" style="160" customWidth="1"/>
    <col min="11514" max="11514" width="20.83203125" style="160" customWidth="1"/>
    <col min="11515" max="11515" width="0" style="160" hidden="1" customWidth="1"/>
    <col min="11516" max="11763" width="9.1640625" style="160"/>
    <col min="11764" max="11764" width="21.5" style="160" customWidth="1"/>
    <col min="11765" max="11765" width="16.5" style="160" customWidth="1"/>
    <col min="11766" max="11766" width="18" style="160" customWidth="1"/>
    <col min="11767" max="11767" width="23.6640625" style="160" customWidth="1"/>
    <col min="11768" max="11768" width="26" style="160" customWidth="1"/>
    <col min="11769" max="11769" width="21.5" style="160" customWidth="1"/>
    <col min="11770" max="11770" width="20.83203125" style="160" customWidth="1"/>
    <col min="11771" max="11771" width="0" style="160" hidden="1" customWidth="1"/>
    <col min="11772" max="12019" width="9.1640625" style="160"/>
    <col min="12020" max="12020" width="21.5" style="160" customWidth="1"/>
    <col min="12021" max="12021" width="16.5" style="160" customWidth="1"/>
    <col min="12022" max="12022" width="18" style="160" customWidth="1"/>
    <col min="12023" max="12023" width="23.6640625" style="160" customWidth="1"/>
    <col min="12024" max="12024" width="26" style="160" customWidth="1"/>
    <col min="12025" max="12025" width="21.5" style="160" customWidth="1"/>
    <col min="12026" max="12026" width="20.83203125" style="160" customWidth="1"/>
    <col min="12027" max="12027" width="0" style="160" hidden="1" customWidth="1"/>
    <col min="12028" max="12275" width="9.1640625" style="160"/>
    <col min="12276" max="12276" width="21.5" style="160" customWidth="1"/>
    <col min="12277" max="12277" width="16.5" style="160" customWidth="1"/>
    <col min="12278" max="12278" width="18" style="160" customWidth="1"/>
    <col min="12279" max="12279" width="23.6640625" style="160" customWidth="1"/>
    <col min="12280" max="12280" width="26" style="160" customWidth="1"/>
    <col min="12281" max="12281" width="21.5" style="160" customWidth="1"/>
    <col min="12282" max="12282" width="20.83203125" style="160" customWidth="1"/>
    <col min="12283" max="12283" width="0" style="160" hidden="1" customWidth="1"/>
    <col min="12284" max="12531" width="9.1640625" style="160"/>
    <col min="12532" max="12532" width="21.5" style="160" customWidth="1"/>
    <col min="12533" max="12533" width="16.5" style="160" customWidth="1"/>
    <col min="12534" max="12534" width="18" style="160" customWidth="1"/>
    <col min="12535" max="12535" width="23.6640625" style="160" customWidth="1"/>
    <col min="12536" max="12536" width="26" style="160" customWidth="1"/>
    <col min="12537" max="12537" width="21.5" style="160" customWidth="1"/>
    <col min="12538" max="12538" width="20.83203125" style="160" customWidth="1"/>
    <col min="12539" max="12539" width="0" style="160" hidden="1" customWidth="1"/>
    <col min="12540" max="12787" width="9.1640625" style="160"/>
    <col min="12788" max="12788" width="21.5" style="160" customWidth="1"/>
    <col min="12789" max="12789" width="16.5" style="160" customWidth="1"/>
    <col min="12790" max="12790" width="18" style="160" customWidth="1"/>
    <col min="12791" max="12791" width="23.6640625" style="160" customWidth="1"/>
    <col min="12792" max="12792" width="26" style="160" customWidth="1"/>
    <col min="12793" max="12793" width="21.5" style="160" customWidth="1"/>
    <col min="12794" max="12794" width="20.83203125" style="160" customWidth="1"/>
    <col min="12795" max="12795" width="0" style="160" hidden="1" customWidth="1"/>
    <col min="12796" max="13043" width="9.1640625" style="160"/>
    <col min="13044" max="13044" width="21.5" style="160" customWidth="1"/>
    <col min="13045" max="13045" width="16.5" style="160" customWidth="1"/>
    <col min="13046" max="13046" width="18" style="160" customWidth="1"/>
    <col min="13047" max="13047" width="23.6640625" style="160" customWidth="1"/>
    <col min="13048" max="13048" width="26" style="160" customWidth="1"/>
    <col min="13049" max="13049" width="21.5" style="160" customWidth="1"/>
    <col min="13050" max="13050" width="20.83203125" style="160" customWidth="1"/>
    <col min="13051" max="13051" width="0" style="160" hidden="1" customWidth="1"/>
    <col min="13052" max="13299" width="9.1640625" style="160"/>
    <col min="13300" max="13300" width="21.5" style="160" customWidth="1"/>
    <col min="13301" max="13301" width="16.5" style="160" customWidth="1"/>
    <col min="13302" max="13302" width="18" style="160" customWidth="1"/>
    <col min="13303" max="13303" width="23.6640625" style="160" customWidth="1"/>
    <col min="13304" max="13304" width="26" style="160" customWidth="1"/>
    <col min="13305" max="13305" width="21.5" style="160" customWidth="1"/>
    <col min="13306" max="13306" width="20.83203125" style="160" customWidth="1"/>
    <col min="13307" max="13307" width="0" style="160" hidden="1" customWidth="1"/>
    <col min="13308" max="13555" width="9.1640625" style="160"/>
    <col min="13556" max="13556" width="21.5" style="160" customWidth="1"/>
    <col min="13557" max="13557" width="16.5" style="160" customWidth="1"/>
    <col min="13558" max="13558" width="18" style="160" customWidth="1"/>
    <col min="13559" max="13559" width="23.6640625" style="160" customWidth="1"/>
    <col min="13560" max="13560" width="26" style="160" customWidth="1"/>
    <col min="13561" max="13561" width="21.5" style="160" customWidth="1"/>
    <col min="13562" max="13562" width="20.83203125" style="160" customWidth="1"/>
    <col min="13563" max="13563" width="0" style="160" hidden="1" customWidth="1"/>
    <col min="13564" max="13811" width="9.1640625" style="160"/>
    <col min="13812" max="13812" width="21.5" style="160" customWidth="1"/>
    <col min="13813" max="13813" width="16.5" style="160" customWidth="1"/>
    <col min="13814" max="13814" width="18" style="160" customWidth="1"/>
    <col min="13815" max="13815" width="23.6640625" style="160" customWidth="1"/>
    <col min="13816" max="13816" width="26" style="160" customWidth="1"/>
    <col min="13817" max="13817" width="21.5" style="160" customWidth="1"/>
    <col min="13818" max="13818" width="20.83203125" style="160" customWidth="1"/>
    <col min="13819" max="13819" width="0" style="160" hidden="1" customWidth="1"/>
    <col min="13820" max="14067" width="9.1640625" style="160"/>
    <col min="14068" max="14068" width="21.5" style="160" customWidth="1"/>
    <col min="14069" max="14069" width="16.5" style="160" customWidth="1"/>
    <col min="14070" max="14070" width="18" style="160" customWidth="1"/>
    <col min="14071" max="14071" width="23.6640625" style="160" customWidth="1"/>
    <col min="14072" max="14072" width="26" style="160" customWidth="1"/>
    <col min="14073" max="14073" width="21.5" style="160" customWidth="1"/>
    <col min="14074" max="14074" width="20.83203125" style="160" customWidth="1"/>
    <col min="14075" max="14075" width="0" style="160" hidden="1" customWidth="1"/>
    <col min="14076" max="14323" width="9.1640625" style="160"/>
    <col min="14324" max="14324" width="21.5" style="160" customWidth="1"/>
    <col min="14325" max="14325" width="16.5" style="160" customWidth="1"/>
    <col min="14326" max="14326" width="18" style="160" customWidth="1"/>
    <col min="14327" max="14327" width="23.6640625" style="160" customWidth="1"/>
    <col min="14328" max="14328" width="26" style="160" customWidth="1"/>
    <col min="14329" max="14329" width="21.5" style="160" customWidth="1"/>
    <col min="14330" max="14330" width="20.83203125" style="160" customWidth="1"/>
    <col min="14331" max="14331" width="0" style="160" hidden="1" customWidth="1"/>
    <col min="14332" max="14579" width="9.1640625" style="160"/>
    <col min="14580" max="14580" width="21.5" style="160" customWidth="1"/>
    <col min="14581" max="14581" width="16.5" style="160" customWidth="1"/>
    <col min="14582" max="14582" width="18" style="160" customWidth="1"/>
    <col min="14583" max="14583" width="23.6640625" style="160" customWidth="1"/>
    <col min="14584" max="14584" width="26" style="160" customWidth="1"/>
    <col min="14585" max="14585" width="21.5" style="160" customWidth="1"/>
    <col min="14586" max="14586" width="20.83203125" style="160" customWidth="1"/>
    <col min="14587" max="14587" width="0" style="160" hidden="1" customWidth="1"/>
    <col min="14588" max="14835" width="9.1640625" style="160"/>
    <col min="14836" max="14836" width="21.5" style="160" customWidth="1"/>
    <col min="14837" max="14837" width="16.5" style="160" customWidth="1"/>
    <col min="14838" max="14838" width="18" style="160" customWidth="1"/>
    <col min="14839" max="14839" width="23.6640625" style="160" customWidth="1"/>
    <col min="14840" max="14840" width="26" style="160" customWidth="1"/>
    <col min="14841" max="14841" width="21.5" style="160" customWidth="1"/>
    <col min="14842" max="14842" width="20.83203125" style="160" customWidth="1"/>
    <col min="14843" max="14843" width="0" style="160" hidden="1" customWidth="1"/>
    <col min="14844" max="15091" width="9.1640625" style="160"/>
    <col min="15092" max="15092" width="21.5" style="160" customWidth="1"/>
    <col min="15093" max="15093" width="16.5" style="160" customWidth="1"/>
    <col min="15094" max="15094" width="18" style="160" customWidth="1"/>
    <col min="15095" max="15095" width="23.6640625" style="160" customWidth="1"/>
    <col min="15096" max="15096" width="26" style="160" customWidth="1"/>
    <col min="15097" max="15097" width="21.5" style="160" customWidth="1"/>
    <col min="15098" max="15098" width="20.83203125" style="160" customWidth="1"/>
    <col min="15099" max="15099" width="0" style="160" hidden="1" customWidth="1"/>
    <col min="15100" max="15347" width="9.1640625" style="160"/>
    <col min="15348" max="15348" width="21.5" style="160" customWidth="1"/>
    <col min="15349" max="15349" width="16.5" style="160" customWidth="1"/>
    <col min="15350" max="15350" width="18" style="160" customWidth="1"/>
    <col min="15351" max="15351" width="23.6640625" style="160" customWidth="1"/>
    <col min="15352" max="15352" width="26" style="160" customWidth="1"/>
    <col min="15353" max="15353" width="21.5" style="160" customWidth="1"/>
    <col min="15354" max="15354" width="20.83203125" style="160" customWidth="1"/>
    <col min="15355" max="15355" width="0" style="160" hidden="1" customWidth="1"/>
    <col min="15356" max="15603" width="9.1640625" style="160"/>
    <col min="15604" max="15604" width="21.5" style="160" customWidth="1"/>
    <col min="15605" max="15605" width="16.5" style="160" customWidth="1"/>
    <col min="15606" max="15606" width="18" style="160" customWidth="1"/>
    <col min="15607" max="15607" width="23.6640625" style="160" customWidth="1"/>
    <col min="15608" max="15608" width="26" style="160" customWidth="1"/>
    <col min="15609" max="15609" width="21.5" style="160" customWidth="1"/>
    <col min="15610" max="15610" width="20.83203125" style="160" customWidth="1"/>
    <col min="15611" max="15611" width="0" style="160" hidden="1" customWidth="1"/>
    <col min="15612" max="15859" width="9.1640625" style="160"/>
    <col min="15860" max="15860" width="21.5" style="160" customWidth="1"/>
    <col min="15861" max="15861" width="16.5" style="160" customWidth="1"/>
    <col min="15862" max="15862" width="18" style="160" customWidth="1"/>
    <col min="15863" max="15863" width="23.6640625" style="160" customWidth="1"/>
    <col min="15864" max="15864" width="26" style="160" customWidth="1"/>
    <col min="15865" max="15865" width="21.5" style="160" customWidth="1"/>
    <col min="15866" max="15866" width="20.83203125" style="160" customWidth="1"/>
    <col min="15867" max="15867" width="0" style="160" hidden="1" customWidth="1"/>
    <col min="15868" max="16115" width="9.1640625" style="160"/>
    <col min="16116" max="16116" width="21.5" style="160" customWidth="1"/>
    <col min="16117" max="16117" width="16.5" style="160" customWidth="1"/>
    <col min="16118" max="16118" width="18" style="160" customWidth="1"/>
    <col min="16119" max="16119" width="23.6640625" style="160" customWidth="1"/>
    <col min="16120" max="16120" width="26" style="160" customWidth="1"/>
    <col min="16121" max="16121" width="21.5" style="160" customWidth="1"/>
    <col min="16122" max="16122" width="20.83203125" style="160" customWidth="1"/>
    <col min="16123" max="16123" width="0" style="160" hidden="1" customWidth="1"/>
    <col min="16124" max="16384" width="9.1640625" style="160"/>
  </cols>
  <sheetData>
    <row r="1" spans="2:15" ht="9" customHeight="1"/>
    <row r="2" spans="2:15" ht="30" customHeight="1">
      <c r="B2" s="197" t="s">
        <v>221</v>
      </c>
      <c r="C2" s="198"/>
      <c r="D2" s="198"/>
      <c r="E2" s="198"/>
      <c r="F2" s="198"/>
      <c r="G2" s="198"/>
      <c r="H2" s="198"/>
      <c r="I2" s="198"/>
      <c r="J2" s="199"/>
    </row>
    <row r="3" spans="2:15" ht="30" customHeight="1">
      <c r="B3" s="801" t="s">
        <v>202</v>
      </c>
      <c r="C3" s="802"/>
      <c r="D3" s="802"/>
      <c r="E3" s="802"/>
      <c r="F3" s="802"/>
      <c r="G3" s="802"/>
      <c r="H3" s="802"/>
      <c r="I3" s="802"/>
      <c r="J3" s="803"/>
    </row>
    <row r="4" spans="2:15" ht="15" customHeight="1" thickBot="1">
      <c r="B4" s="322"/>
      <c r="C4" s="322"/>
      <c r="D4" s="322"/>
      <c r="E4" s="322"/>
      <c r="F4" s="322"/>
      <c r="G4" s="322"/>
      <c r="H4" s="322"/>
      <c r="I4" s="322"/>
      <c r="J4" s="322"/>
    </row>
    <row r="5" spans="2:15" ht="45" customHeight="1" thickBot="1">
      <c r="B5" s="806" t="s">
        <v>315</v>
      </c>
      <c r="C5" s="807"/>
      <c r="D5" s="808"/>
      <c r="E5" s="322"/>
      <c r="F5" s="801" t="s">
        <v>200</v>
      </c>
      <c r="G5" s="802"/>
      <c r="H5" s="802"/>
      <c r="I5" s="802"/>
      <c r="J5" s="803"/>
    </row>
    <row r="6" spans="2:15" ht="15" thickBot="1">
      <c r="B6" s="479" t="s">
        <v>50</v>
      </c>
      <c r="C6" s="480" t="s">
        <v>61</v>
      </c>
      <c r="D6" s="481" t="s">
        <v>60</v>
      </c>
      <c r="E6" s="174"/>
      <c r="F6" s="323" t="s">
        <v>201</v>
      </c>
      <c r="G6" s="323" t="s">
        <v>201</v>
      </c>
      <c r="H6" s="323" t="s">
        <v>201</v>
      </c>
      <c r="I6" s="323" t="s">
        <v>201</v>
      </c>
      <c r="J6" s="323" t="s">
        <v>201</v>
      </c>
      <c r="K6" s="323" t="s">
        <v>201</v>
      </c>
      <c r="L6" s="323" t="s">
        <v>201</v>
      </c>
      <c r="M6" s="323" t="s">
        <v>201</v>
      </c>
      <c r="N6" s="323" t="s">
        <v>201</v>
      </c>
      <c r="O6" s="323" t="s">
        <v>201</v>
      </c>
    </row>
    <row r="7" spans="2:15" s="719" customFormat="1" ht="30" customHeight="1">
      <c r="B7" s="717" t="s">
        <v>413</v>
      </c>
      <c r="C7" s="714" t="s">
        <v>52</v>
      </c>
      <c r="D7" s="715">
        <f>'Cash Flow'!G82</f>
        <v>12.849999999999998</v>
      </c>
      <c r="E7" s="718"/>
      <c r="F7" s="715"/>
      <c r="G7" s="715"/>
      <c r="H7" s="715"/>
      <c r="I7" s="715"/>
      <c r="J7" s="715"/>
      <c r="K7" s="715"/>
      <c r="L7" s="715"/>
      <c r="M7" s="715"/>
      <c r="N7" s="715"/>
      <c r="O7" s="716"/>
    </row>
    <row r="8" spans="2:15" ht="15.75" customHeight="1">
      <c r="B8" s="200" t="s">
        <v>196</v>
      </c>
      <c r="C8" s="201" t="s">
        <v>1</v>
      </c>
      <c r="D8" s="324">
        <f>Inputs!$Q$15</f>
        <v>0</v>
      </c>
      <c r="E8" s="256"/>
      <c r="F8" s="324"/>
      <c r="G8" s="324"/>
      <c r="H8" s="324"/>
      <c r="I8" s="324"/>
      <c r="J8" s="324"/>
      <c r="K8" s="324"/>
      <c r="L8" s="324"/>
      <c r="M8" s="324"/>
      <c r="N8" s="324"/>
      <c r="O8" s="531"/>
    </row>
    <row r="9" spans="2:15" ht="15.75" customHeight="1">
      <c r="B9" s="202" t="s">
        <v>100</v>
      </c>
      <c r="C9" s="203" t="s">
        <v>1</v>
      </c>
      <c r="D9" s="324">
        <f>Inputs!$Q$14</f>
        <v>0</v>
      </c>
      <c r="E9" s="256"/>
      <c r="F9" s="324"/>
      <c r="G9" s="324"/>
      <c r="H9" s="324"/>
      <c r="I9" s="324"/>
      <c r="J9" s="324"/>
      <c r="K9" s="324"/>
      <c r="L9" s="324"/>
      <c r="M9" s="324"/>
      <c r="N9" s="324"/>
      <c r="O9" s="531"/>
    </row>
    <row r="10" spans="2:15" ht="15">
      <c r="B10" s="494" t="s">
        <v>293</v>
      </c>
      <c r="C10" s="495"/>
      <c r="D10" s="486" t="str">
        <f>IF(Inputs!$G$63="Pass","Yes","No, see Inputs Worksheet")</f>
        <v>Yes</v>
      </c>
      <c r="E10" s="174"/>
      <c r="F10" s="530"/>
      <c r="G10" s="530"/>
      <c r="H10" s="530"/>
      <c r="I10" s="530"/>
      <c r="J10" s="530"/>
      <c r="K10" s="530"/>
      <c r="L10" s="530"/>
      <c r="M10" s="530"/>
      <c r="N10" s="530"/>
      <c r="O10" s="530"/>
    </row>
    <row r="11" spans="2:15" ht="15">
      <c r="B11" s="496" t="s">
        <v>294</v>
      </c>
      <c r="C11" s="497"/>
      <c r="D11" s="486" t="str">
        <f>IF(Inputs!$G$66="Pass","Yes","No, see Inputs Worksheet")</f>
        <v>Yes</v>
      </c>
      <c r="E11" s="174"/>
      <c r="F11" s="530"/>
      <c r="G11" s="530"/>
      <c r="H11" s="530"/>
      <c r="I11" s="530"/>
      <c r="J11" s="530"/>
      <c r="K11" s="530"/>
      <c r="L11" s="530"/>
      <c r="M11" s="530"/>
      <c r="N11" s="530"/>
      <c r="O11" s="532"/>
    </row>
    <row r="12" spans="2:15" ht="15.75" customHeight="1">
      <c r="B12" s="469" t="s">
        <v>307</v>
      </c>
      <c r="C12" s="467"/>
      <c r="D12" s="468"/>
      <c r="E12" s="174"/>
      <c r="F12" s="529"/>
      <c r="G12" s="529"/>
      <c r="H12" s="529"/>
      <c r="I12" s="529"/>
      <c r="J12" s="529"/>
      <c r="K12" s="529"/>
      <c r="L12" s="529"/>
      <c r="M12" s="529"/>
      <c r="N12" s="529"/>
      <c r="O12" s="529"/>
    </row>
    <row r="13" spans="2:15" ht="15.75" customHeight="1">
      <c r="B13" s="336"/>
      <c r="C13" s="201"/>
      <c r="D13" s="337"/>
      <c r="E13" s="174"/>
      <c r="F13" s="337"/>
      <c r="G13" s="337"/>
      <c r="H13" s="337"/>
      <c r="I13" s="337"/>
      <c r="J13" s="337"/>
      <c r="K13" s="337"/>
      <c r="L13" s="337"/>
      <c r="M13" s="337"/>
      <c r="N13" s="337"/>
      <c r="O13" s="337"/>
    </row>
    <row r="14" spans="2:15" s="719" customFormat="1" ht="30" customHeight="1">
      <c r="B14" s="720" t="s">
        <v>414</v>
      </c>
      <c r="C14" s="721" t="s">
        <v>52</v>
      </c>
      <c r="D14" s="722">
        <f>-PMT(Inputs!$G$68,Inputs!$Q$13,NPV(Inputs!$G$68,'Cash Flow'!G21:AJ21))</f>
        <v>12.849999999999991</v>
      </c>
      <c r="E14" s="723"/>
      <c r="F14" s="722"/>
      <c r="G14" s="722"/>
      <c r="H14" s="722"/>
      <c r="I14" s="722"/>
      <c r="J14" s="722"/>
      <c r="K14" s="722"/>
      <c r="L14" s="722"/>
      <c r="M14" s="722"/>
      <c r="N14" s="722"/>
      <c r="O14" s="722"/>
    </row>
    <row r="15" spans="2:15" s="180" customFormat="1">
      <c r="C15" s="204"/>
      <c r="D15" s="205"/>
      <c r="E15" s="179"/>
      <c r="F15" s="205"/>
      <c r="G15" s="205"/>
      <c r="H15" s="205"/>
      <c r="I15" s="205"/>
      <c r="J15" s="205"/>
      <c r="K15" s="205"/>
      <c r="L15" s="205"/>
      <c r="M15" s="205"/>
      <c r="N15" s="205"/>
      <c r="O15" s="205"/>
    </row>
    <row r="16" spans="2:15" s="180" customFormat="1" ht="15.75" customHeight="1">
      <c r="B16" s="206" t="s">
        <v>49</v>
      </c>
      <c r="C16" s="341"/>
      <c r="D16" s="340"/>
      <c r="E16" s="174"/>
      <c r="F16" s="339"/>
      <c r="G16" s="339"/>
      <c r="H16" s="339"/>
      <c r="I16" s="339"/>
      <c r="J16" s="339"/>
      <c r="K16" s="339"/>
      <c r="L16" s="339"/>
      <c r="M16" s="339"/>
      <c r="N16" s="339"/>
      <c r="O16" s="339"/>
    </row>
    <row r="17" spans="2:15" s="180" customFormat="1" ht="15.75" customHeight="1">
      <c r="B17" s="697"/>
      <c r="C17" s="696"/>
      <c r="D17" s="698"/>
      <c r="E17" s="174"/>
      <c r="F17" s="699"/>
      <c r="G17" s="699"/>
      <c r="H17" s="699"/>
      <c r="I17" s="699"/>
      <c r="J17" s="699"/>
      <c r="K17" s="699"/>
      <c r="L17" s="699"/>
      <c r="M17" s="699"/>
      <c r="N17" s="699"/>
      <c r="O17" s="699"/>
    </row>
    <row r="18" spans="2:15">
      <c r="B18" s="200" t="s">
        <v>28</v>
      </c>
      <c r="C18" s="201" t="str">
        <f>Inputs!F9</f>
        <v>kW</v>
      </c>
      <c r="D18" s="525">
        <f>Inputs!G9</f>
        <v>3650</v>
      </c>
      <c r="E18" s="209"/>
      <c r="F18" s="704"/>
      <c r="G18" s="527"/>
      <c r="H18" s="526"/>
      <c r="I18" s="526"/>
      <c r="J18" s="526"/>
      <c r="K18" s="526"/>
      <c r="L18" s="527"/>
      <c r="M18" s="526"/>
      <c r="N18" s="526"/>
      <c r="O18" s="526"/>
    </row>
    <row r="19" spans="2:15">
      <c r="B19" s="733" t="str">
        <f>Inputs!E13</f>
        <v>Gas Consumption, Year 1</v>
      </c>
      <c r="C19" s="201" t="str">
        <f>Inputs!F13</f>
        <v>cubic feet/year</v>
      </c>
      <c r="D19" s="525">
        <f>Inputs!G13</f>
        <v>227281850</v>
      </c>
      <c r="E19" s="209"/>
      <c r="F19" s="704"/>
      <c r="G19" s="527"/>
      <c r="H19" s="526"/>
      <c r="I19" s="526"/>
      <c r="J19" s="526"/>
      <c r="K19" s="526"/>
      <c r="L19" s="527"/>
      <c r="M19" s="526"/>
      <c r="N19" s="526"/>
      <c r="O19" s="526"/>
    </row>
    <row r="20" spans="2:15">
      <c r="B20" s="733" t="str">
        <f>Inputs!E12</f>
        <v>Energy Content per Cubic Foot</v>
      </c>
      <c r="C20" s="201" t="str">
        <f>Inputs!F12</f>
        <v>BTU/cubic foot</v>
      </c>
      <c r="D20" s="525">
        <f>Inputs!G12</f>
        <v>1000</v>
      </c>
      <c r="E20" s="209"/>
      <c r="F20" s="704"/>
      <c r="G20" s="527"/>
      <c r="H20" s="526"/>
      <c r="I20" s="526"/>
      <c r="J20" s="526"/>
      <c r="K20" s="526"/>
      <c r="L20" s="527"/>
      <c r="M20" s="526"/>
      <c r="N20" s="526"/>
      <c r="O20" s="526"/>
    </row>
    <row r="21" spans="2:15">
      <c r="B21" s="733" t="str">
        <f>Inputs!E11</f>
        <v>Initial Heat Rate (Year 1)</v>
      </c>
      <c r="C21" s="201" t="str">
        <f>Inputs!F11</f>
        <v>BTU/kWh</v>
      </c>
      <c r="D21" s="525">
        <f>Inputs!G11</f>
        <v>7108.3333333333339</v>
      </c>
      <c r="E21" s="209"/>
      <c r="F21" s="704"/>
      <c r="G21" s="527"/>
      <c r="H21" s="526"/>
      <c r="I21" s="526"/>
      <c r="J21" s="526"/>
      <c r="K21" s="526"/>
      <c r="L21" s="527"/>
      <c r="M21" s="526"/>
      <c r="N21" s="526"/>
      <c r="O21" s="526"/>
    </row>
    <row r="22" spans="2:15">
      <c r="B22" s="733" t="str">
        <f>Inputs!E14</f>
        <v>Availability</v>
      </c>
      <c r="C22" s="201" t="str">
        <f>Inputs!F14</f>
        <v>%</v>
      </c>
      <c r="D22" s="694">
        <f>Inputs!G14</f>
        <v>0.9</v>
      </c>
      <c r="E22" s="211"/>
      <c r="F22" s="705"/>
      <c r="G22" s="212"/>
      <c r="H22" s="210"/>
      <c r="I22" s="210"/>
      <c r="J22" s="210"/>
      <c r="K22" s="210"/>
      <c r="L22" s="212"/>
      <c r="M22" s="210"/>
      <c r="N22" s="210"/>
      <c r="O22" s="210"/>
    </row>
    <row r="23" spans="2:15">
      <c r="B23" s="733" t="str">
        <f>Inputs!E15</f>
        <v>Station Service (Parasitic Load)</v>
      </c>
      <c r="C23" s="201" t="str">
        <f>Inputs!F15</f>
        <v>%</v>
      </c>
      <c r="D23" s="694">
        <f>Inputs!G15</f>
        <v>0.1</v>
      </c>
      <c r="E23" s="211"/>
      <c r="F23" s="705"/>
      <c r="G23" s="212"/>
      <c r="H23" s="210"/>
      <c r="I23" s="210"/>
      <c r="J23" s="210"/>
      <c r="K23" s="210"/>
      <c r="L23" s="212"/>
      <c r="M23" s="210"/>
      <c r="N23" s="210"/>
      <c r="O23" s="210"/>
    </row>
    <row r="24" spans="2:15">
      <c r="B24" s="200" t="s">
        <v>270</v>
      </c>
      <c r="C24" s="201" t="s">
        <v>2</v>
      </c>
      <c r="D24" s="525">
        <f>'Cash Flow'!G10</f>
        <v>25898940</v>
      </c>
      <c r="E24" s="211"/>
      <c r="F24" s="704"/>
      <c r="G24" s="212"/>
      <c r="H24" s="210"/>
      <c r="I24" s="210"/>
      <c r="J24" s="210"/>
      <c r="K24" s="210"/>
      <c r="L24" s="212"/>
      <c r="M24" s="210"/>
      <c r="N24" s="210"/>
      <c r="O24" s="210"/>
    </row>
    <row r="25" spans="2:15">
      <c r="B25" s="200" t="s">
        <v>208</v>
      </c>
      <c r="C25" s="201" t="s">
        <v>51</v>
      </c>
      <c r="D25" s="213">
        <f>Inputs!G19</f>
        <v>20</v>
      </c>
      <c r="E25" s="211"/>
      <c r="F25" s="706"/>
      <c r="G25" s="212"/>
      <c r="H25" s="210"/>
      <c r="I25" s="210"/>
      <c r="J25" s="210"/>
      <c r="K25" s="210"/>
      <c r="L25" s="212"/>
      <c r="M25" s="210"/>
      <c r="N25" s="210"/>
      <c r="O25" s="210"/>
    </row>
    <row r="26" spans="2:15">
      <c r="B26" s="200" t="s">
        <v>396</v>
      </c>
      <c r="C26" s="201" t="s">
        <v>51</v>
      </c>
      <c r="D26" s="213">
        <f>Inputs!$Q$13</f>
        <v>20</v>
      </c>
      <c r="E26" s="207"/>
      <c r="F26" s="706"/>
      <c r="G26" s="208"/>
      <c r="H26" s="213"/>
      <c r="I26" s="213"/>
      <c r="J26" s="213"/>
      <c r="K26" s="213"/>
      <c r="L26" s="309"/>
      <c r="M26" s="213"/>
      <c r="N26" s="213"/>
      <c r="O26" s="213"/>
    </row>
    <row r="27" spans="2:15">
      <c r="B27" s="200" t="s">
        <v>398</v>
      </c>
      <c r="C27" s="201" t="s">
        <v>1</v>
      </c>
      <c r="D27" s="694">
        <f>Inputs!Q14</f>
        <v>0</v>
      </c>
      <c r="E27" s="207"/>
      <c r="F27" s="707"/>
      <c r="G27" s="690"/>
      <c r="H27" s="213"/>
      <c r="I27" s="213"/>
      <c r="J27" s="213"/>
      <c r="K27" s="213"/>
      <c r="L27" s="690"/>
      <c r="M27" s="213"/>
      <c r="N27" s="213"/>
      <c r="O27" s="213"/>
    </row>
    <row r="28" spans="2:15">
      <c r="B28" s="200"/>
      <c r="C28" s="201"/>
      <c r="D28" s="213"/>
      <c r="E28" s="207"/>
      <c r="F28" s="706"/>
      <c r="G28" s="208"/>
      <c r="H28" s="213"/>
      <c r="I28" s="213"/>
      <c r="J28" s="213"/>
      <c r="K28" s="213"/>
      <c r="L28" s="309"/>
      <c r="M28" s="213"/>
      <c r="N28" s="213"/>
      <c r="O28" s="213"/>
    </row>
    <row r="29" spans="2:15">
      <c r="B29" s="200" t="s">
        <v>399</v>
      </c>
      <c r="C29" s="201" t="s">
        <v>0</v>
      </c>
      <c r="D29" s="214">
        <f>Inputs!$G30-Inputs!$G$75</f>
        <v>17337500</v>
      </c>
      <c r="E29" s="215"/>
      <c r="F29" s="708"/>
      <c r="G29" s="216"/>
      <c r="H29" s="214"/>
      <c r="I29" s="214"/>
      <c r="J29" s="214"/>
      <c r="K29" s="214"/>
      <c r="L29" s="216"/>
      <c r="M29" s="214"/>
      <c r="N29" s="214"/>
      <c r="O29" s="214"/>
    </row>
    <row r="30" spans="2:15" ht="15">
      <c r="B30" s="200" t="s">
        <v>399</v>
      </c>
      <c r="C30" s="217" t="s">
        <v>323</v>
      </c>
      <c r="D30" s="214">
        <f>D29/D18</f>
        <v>4750</v>
      </c>
      <c r="E30" s="218"/>
      <c r="F30" s="708"/>
      <c r="G30" s="216"/>
      <c r="H30" s="214"/>
      <c r="I30" s="214"/>
      <c r="J30" s="214"/>
      <c r="K30" s="214"/>
      <c r="L30" s="216"/>
      <c r="M30" s="214"/>
      <c r="N30" s="214"/>
      <c r="O30" s="214"/>
    </row>
    <row r="31" spans="2:15">
      <c r="B31" s="200"/>
      <c r="C31" s="201"/>
      <c r="D31" s="214"/>
      <c r="E31" s="218"/>
      <c r="F31" s="708"/>
      <c r="G31" s="216"/>
      <c r="H31" s="214"/>
      <c r="I31" s="214"/>
      <c r="J31" s="214"/>
      <c r="K31" s="214"/>
      <c r="L31" s="216"/>
      <c r="M31" s="214"/>
      <c r="N31" s="214"/>
      <c r="O31" s="214"/>
    </row>
    <row r="32" spans="2:15">
      <c r="B32" s="200" t="s">
        <v>431</v>
      </c>
      <c r="C32" s="201"/>
      <c r="D32" s="214"/>
      <c r="E32" s="218"/>
      <c r="F32" s="708"/>
      <c r="G32" s="216"/>
      <c r="H32" s="214"/>
      <c r="I32" s="214"/>
      <c r="J32" s="214"/>
      <c r="K32" s="214"/>
      <c r="L32" s="216"/>
      <c r="M32" s="214"/>
      <c r="N32" s="214"/>
      <c r="O32" s="214"/>
    </row>
    <row r="33" spans="2:15">
      <c r="B33" s="733" t="str">
        <f>Inputs!O7</f>
        <v>Waste Heat -- Heat Capture Efficiency</v>
      </c>
      <c r="C33" s="201" t="str">
        <f>Inputs!P7</f>
        <v>%</v>
      </c>
      <c r="D33" s="760">
        <f>Inputs!Q7</f>
        <v>0.85</v>
      </c>
      <c r="E33" s="218"/>
      <c r="F33" s="708"/>
      <c r="G33" s="216"/>
      <c r="H33" s="214"/>
      <c r="I33" s="214"/>
      <c r="J33" s="214"/>
      <c r="K33" s="214"/>
      <c r="L33" s="216"/>
      <c r="M33" s="214"/>
      <c r="N33" s="214"/>
      <c r="O33" s="214"/>
    </row>
    <row r="34" spans="2:15">
      <c r="B34" s="733" t="str">
        <f>Inputs!O8</f>
        <v>Waste Heat -- BTUs available for sale</v>
      </c>
      <c r="C34" s="201" t="str">
        <f>Inputs!P8</f>
        <v>BTU/kWh</v>
      </c>
      <c r="D34" s="734">
        <f>Inputs!Q8</f>
        <v>3141.8833333333337</v>
      </c>
      <c r="E34" s="218"/>
      <c r="F34" s="708"/>
      <c r="G34" s="216"/>
      <c r="H34" s="214"/>
      <c r="I34" s="214"/>
      <c r="J34" s="214"/>
      <c r="K34" s="214"/>
      <c r="L34" s="216"/>
      <c r="M34" s="214"/>
      <c r="N34" s="214"/>
      <c r="O34" s="214"/>
    </row>
    <row r="35" spans="2:15">
      <c r="B35" s="733" t="str">
        <f>Inputs!O9</f>
        <v>Waste Heat -- Selling Price/Avoided Cost</v>
      </c>
      <c r="C35" s="201" t="str">
        <f>Inputs!P9</f>
        <v>$/therm</v>
      </c>
      <c r="D35" s="734">
        <f>Inputs!Q9</f>
        <v>0</v>
      </c>
      <c r="E35" s="218"/>
      <c r="F35" s="708"/>
      <c r="G35" s="216"/>
      <c r="H35" s="214"/>
      <c r="I35" s="214"/>
      <c r="J35" s="214"/>
      <c r="K35" s="214"/>
      <c r="L35" s="216"/>
      <c r="M35" s="214"/>
      <c r="N35" s="214"/>
      <c r="O35" s="214"/>
    </row>
    <row r="36" spans="2:15">
      <c r="B36" s="733" t="str">
        <f>Inputs!O10</f>
        <v>Waste Heat -- Selling Price Escalation Factor</v>
      </c>
      <c r="C36" s="201" t="str">
        <f>Inputs!P10</f>
        <v>%</v>
      </c>
      <c r="D36" s="760">
        <f>Inputs!Q10</f>
        <v>0.02</v>
      </c>
      <c r="E36" s="218"/>
      <c r="F36" s="708"/>
      <c r="G36" s="216"/>
      <c r="H36" s="214"/>
      <c r="I36" s="214"/>
      <c r="J36" s="214"/>
      <c r="K36" s="214"/>
      <c r="L36" s="216"/>
      <c r="M36" s="214"/>
      <c r="N36" s="214"/>
      <c r="O36" s="214"/>
    </row>
    <row r="37" spans="2:15">
      <c r="B37" s="200"/>
      <c r="C37" s="201"/>
      <c r="D37" s="214"/>
      <c r="E37" s="218"/>
      <c r="F37" s="708"/>
      <c r="G37" s="216"/>
      <c r="H37" s="214"/>
      <c r="I37" s="214"/>
      <c r="J37" s="214"/>
      <c r="K37" s="214"/>
      <c r="L37" s="216"/>
      <c r="M37" s="214"/>
      <c r="N37" s="214"/>
      <c r="O37" s="214"/>
    </row>
    <row r="38" spans="2:15" ht="15">
      <c r="B38" s="200" t="s">
        <v>400</v>
      </c>
      <c r="C38" s="201" t="s">
        <v>406</v>
      </c>
      <c r="D38" s="695">
        <f>'Cash Flow'!G47</f>
        <v>-6.7798361400119083</v>
      </c>
      <c r="E38" s="218"/>
      <c r="F38" s="709"/>
      <c r="G38" s="216"/>
      <c r="H38" s="214"/>
      <c r="I38" s="214"/>
      <c r="J38" s="214"/>
      <c r="K38" s="214"/>
      <c r="L38" s="216"/>
      <c r="M38" s="214"/>
      <c r="N38" s="214"/>
      <c r="O38" s="214"/>
    </row>
    <row r="39" spans="2:15">
      <c r="B39" s="200"/>
      <c r="C39" s="201"/>
      <c r="D39" s="213"/>
      <c r="E39" s="207"/>
      <c r="F39" s="706"/>
      <c r="G39" s="208"/>
      <c r="H39" s="213"/>
      <c r="I39" s="213"/>
      <c r="J39" s="213"/>
      <c r="K39" s="213"/>
      <c r="L39" s="309"/>
      <c r="M39" s="213"/>
      <c r="N39" s="213"/>
      <c r="O39" s="213"/>
    </row>
    <row r="40" spans="2:15" ht="15">
      <c r="B40" s="200" t="s">
        <v>444</v>
      </c>
      <c r="C40" s="217" t="s">
        <v>1</v>
      </c>
      <c r="D40" s="219">
        <f>Inputs!$G67</f>
        <v>0.6</v>
      </c>
      <c r="E40" s="220"/>
      <c r="F40" s="710"/>
      <c r="G40" s="221"/>
      <c r="H40" s="219"/>
      <c r="I40" s="219"/>
      <c r="J40" s="219"/>
      <c r="K40" s="219"/>
      <c r="L40" s="221"/>
      <c r="M40" s="219"/>
      <c r="N40" s="219"/>
      <c r="O40" s="219"/>
    </row>
    <row r="41" spans="2:15">
      <c r="B41" s="200" t="s">
        <v>263</v>
      </c>
      <c r="C41" s="201" t="s">
        <v>1</v>
      </c>
      <c r="D41" s="325">
        <f>Inputs!$G68</f>
        <v>0.12</v>
      </c>
      <c r="E41" s="220"/>
      <c r="F41" s="711"/>
      <c r="G41" s="221"/>
      <c r="H41" s="219"/>
      <c r="I41" s="219"/>
      <c r="J41" s="219"/>
      <c r="K41" s="219"/>
      <c r="L41" s="221"/>
      <c r="M41" s="219"/>
      <c r="N41" s="219"/>
      <c r="O41" s="219"/>
    </row>
    <row r="42" spans="2:15" ht="15">
      <c r="B42" s="200" t="s">
        <v>241</v>
      </c>
      <c r="C42" s="217" t="s">
        <v>1</v>
      </c>
      <c r="D42" s="219">
        <f>Inputs!$G57</f>
        <v>0.4</v>
      </c>
      <c r="E42" s="220"/>
      <c r="F42" s="710"/>
      <c r="G42" s="221"/>
      <c r="H42" s="219"/>
      <c r="I42" s="219"/>
      <c r="J42" s="219"/>
      <c r="K42" s="219"/>
      <c r="L42" s="221"/>
      <c r="M42" s="219"/>
      <c r="N42" s="219"/>
      <c r="O42" s="219"/>
    </row>
    <row r="43" spans="2:15" ht="15">
      <c r="B43" s="200" t="s">
        <v>401</v>
      </c>
      <c r="C43" s="217" t="s">
        <v>51</v>
      </c>
      <c r="D43" s="213">
        <f>IF(D42&gt;0%,Inputs!G58,"NA")</f>
        <v>13</v>
      </c>
      <c r="E43" s="220"/>
      <c r="F43" s="706"/>
      <c r="G43" s="221"/>
      <c r="H43" s="219"/>
      <c r="I43" s="219"/>
      <c r="J43" s="219"/>
      <c r="K43" s="219"/>
      <c r="L43" s="221"/>
      <c r="M43" s="219"/>
      <c r="N43" s="219"/>
      <c r="O43" s="219"/>
    </row>
    <row r="44" spans="2:15" ht="15">
      <c r="B44" s="200" t="s">
        <v>203</v>
      </c>
      <c r="C44" s="217" t="s">
        <v>1</v>
      </c>
      <c r="D44" s="325">
        <f>IF(D42&gt;0%,Inputs!$G59,"NA")</f>
        <v>7.0000000000000007E-2</v>
      </c>
      <c r="E44" s="220"/>
      <c r="F44" s="711"/>
      <c r="G44" s="221"/>
      <c r="H44" s="219"/>
      <c r="I44" s="219"/>
      <c r="J44" s="219"/>
      <c r="K44" s="219"/>
      <c r="L44" s="221"/>
      <c r="M44" s="219"/>
      <c r="N44" s="219"/>
      <c r="O44" s="219"/>
    </row>
    <row r="45" spans="2:15">
      <c r="B45" s="200" t="s">
        <v>15</v>
      </c>
      <c r="C45" s="690"/>
      <c r="D45" s="219" t="str">
        <f>Inputs!$G$79</f>
        <v>Yes</v>
      </c>
      <c r="E45" s="221"/>
      <c r="F45" s="710"/>
      <c r="G45" s="221"/>
      <c r="H45" s="219"/>
      <c r="I45" s="219"/>
      <c r="J45" s="219"/>
      <c r="K45" s="219"/>
      <c r="L45" s="221"/>
      <c r="M45" s="219"/>
      <c r="N45" s="219"/>
      <c r="O45" s="219"/>
    </row>
    <row r="46" spans="2:15">
      <c r="B46" s="200" t="s">
        <v>402</v>
      </c>
      <c r="C46" s="690"/>
      <c r="D46" s="219" t="str">
        <f>IF($D$45="Yes",Inputs!G81,"NA")</f>
        <v>As Generated</v>
      </c>
      <c r="E46" s="221"/>
      <c r="F46" s="710"/>
      <c r="G46" s="221"/>
      <c r="H46" s="219"/>
      <c r="I46" s="219"/>
      <c r="J46" s="219"/>
      <c r="K46" s="219"/>
      <c r="L46" s="221"/>
      <c r="M46" s="219"/>
      <c r="N46" s="219"/>
      <c r="O46" s="219"/>
    </row>
    <row r="47" spans="2:15">
      <c r="B47" s="200" t="s">
        <v>403</v>
      </c>
      <c r="C47" s="690"/>
      <c r="D47" s="219" t="str">
        <f>IF($D$45="Yes",Inputs!G83,"NA")</f>
        <v>As Generated</v>
      </c>
      <c r="E47" s="221"/>
      <c r="F47" s="710"/>
      <c r="G47" s="221"/>
      <c r="H47" s="219"/>
      <c r="I47" s="219"/>
      <c r="J47" s="219"/>
      <c r="K47" s="219"/>
      <c r="L47" s="221"/>
      <c r="M47" s="219"/>
      <c r="N47" s="219"/>
      <c r="O47" s="219"/>
    </row>
    <row r="48" spans="2:15">
      <c r="B48" s="692"/>
      <c r="C48" s="690"/>
      <c r="D48" s="219"/>
      <c r="E48" s="221"/>
      <c r="F48" s="710"/>
      <c r="G48" s="221"/>
      <c r="H48" s="219"/>
      <c r="I48" s="219"/>
      <c r="J48" s="219"/>
      <c r="K48" s="219"/>
      <c r="L48" s="221"/>
      <c r="M48" s="219"/>
      <c r="N48" s="219"/>
      <c r="O48" s="219"/>
    </row>
    <row r="49" spans="2:15">
      <c r="B49" s="200" t="s">
        <v>296</v>
      </c>
      <c r="C49" s="201"/>
      <c r="D49" s="214" t="str">
        <f>Inputs!Q24</f>
        <v>Cost-Based</v>
      </c>
      <c r="E49" s="221"/>
      <c r="F49" s="708"/>
      <c r="G49" s="221"/>
      <c r="H49" s="219"/>
      <c r="I49" s="219"/>
      <c r="J49" s="219"/>
      <c r="K49" s="219"/>
      <c r="L49" s="221"/>
      <c r="M49" s="219"/>
      <c r="N49" s="219"/>
      <c r="O49" s="219"/>
    </row>
    <row r="50" spans="2:15">
      <c r="B50" s="200" t="s">
        <v>397</v>
      </c>
      <c r="C50" s="201"/>
      <c r="D50" s="214" t="str">
        <f>IF($D$49="Cost-Based",Inputs!$Q$25,Inputs!$Q$29)</f>
        <v>ITC</v>
      </c>
      <c r="E50" s="221"/>
      <c r="F50" s="708"/>
      <c r="G50" s="221"/>
      <c r="H50" s="219"/>
      <c r="I50" s="219"/>
      <c r="J50" s="219"/>
      <c r="K50" s="219"/>
      <c r="L50" s="221"/>
      <c r="M50" s="219"/>
      <c r="N50" s="219"/>
      <c r="O50" s="219"/>
    </row>
    <row r="51" spans="2:15">
      <c r="B51" s="200"/>
      <c r="C51" s="201"/>
      <c r="D51" s="214"/>
      <c r="E51" s="221"/>
      <c r="F51" s="708"/>
      <c r="G51" s="221"/>
      <c r="H51" s="219"/>
      <c r="I51" s="219"/>
      <c r="J51" s="219"/>
      <c r="K51" s="219"/>
      <c r="L51" s="221"/>
      <c r="M51" s="219"/>
      <c r="N51" s="219"/>
      <c r="O51" s="219"/>
    </row>
    <row r="52" spans="2:15">
      <c r="B52" s="200" t="s">
        <v>173</v>
      </c>
      <c r="C52" s="223"/>
      <c r="D52" s="213" t="str">
        <f>IF(AND(Inputs!$Q$34=0,Inputs!$Q$50=0),"No","Yes")</f>
        <v>No</v>
      </c>
      <c r="E52" s="221"/>
      <c r="F52" s="706"/>
      <c r="G52" s="221"/>
      <c r="H52" s="219"/>
      <c r="I52" s="219"/>
      <c r="J52" s="219"/>
      <c r="K52" s="219"/>
      <c r="L52" s="221"/>
      <c r="M52" s="219"/>
      <c r="N52" s="219"/>
      <c r="O52" s="219"/>
    </row>
    <row r="53" spans="2:15">
      <c r="B53" s="336" t="s">
        <v>404</v>
      </c>
      <c r="C53" s="201" t="s">
        <v>0</v>
      </c>
      <c r="D53" s="214" t="str">
        <f>IF(D52="No","NA",Inputs!$G$75)</f>
        <v>NA</v>
      </c>
      <c r="E53" s="221"/>
      <c r="F53" s="708"/>
      <c r="G53" s="221"/>
      <c r="H53" s="219"/>
      <c r="I53" s="219"/>
      <c r="J53" s="219"/>
      <c r="K53" s="219"/>
      <c r="L53" s="221"/>
      <c r="M53" s="219"/>
      <c r="N53" s="219"/>
      <c r="O53" s="219"/>
    </row>
    <row r="54" spans="2:15">
      <c r="B54" s="336"/>
      <c r="C54" s="201"/>
      <c r="D54" s="214"/>
      <c r="E54" s="221"/>
      <c r="F54" s="708"/>
      <c r="G54" s="221"/>
      <c r="H54" s="219"/>
      <c r="I54" s="219"/>
      <c r="J54" s="219"/>
      <c r="K54" s="219"/>
      <c r="L54" s="221"/>
      <c r="M54" s="219"/>
      <c r="N54" s="219"/>
      <c r="O54" s="219"/>
    </row>
    <row r="55" spans="2:15">
      <c r="B55" s="693" t="s">
        <v>405</v>
      </c>
      <c r="C55" s="183"/>
      <c r="D55" s="222" t="str">
        <f>IF(Inputs!$G$79="No","NA",Inputs!P80)</f>
        <v>No</v>
      </c>
      <c r="E55" s="223"/>
      <c r="F55" s="712"/>
      <c r="G55" s="675"/>
      <c r="H55" s="222"/>
      <c r="I55" s="222"/>
      <c r="J55" s="222"/>
      <c r="K55" s="222"/>
      <c r="L55" s="675"/>
      <c r="M55" s="222"/>
      <c r="N55" s="222"/>
      <c r="O55" s="222"/>
    </row>
    <row r="56" spans="2:15" ht="150.75" customHeight="1">
      <c r="B56" s="447" t="s">
        <v>352</v>
      </c>
      <c r="C56" s="448"/>
      <c r="D56" s="338"/>
      <c r="F56" s="338"/>
      <c r="G56" s="338"/>
      <c r="H56" s="338"/>
      <c r="I56" s="338"/>
      <c r="J56" s="338"/>
      <c r="K56" s="338"/>
      <c r="L56" s="338"/>
      <c r="M56" s="338"/>
      <c r="N56" s="338"/>
      <c r="O56" s="338"/>
    </row>
    <row r="57" spans="2:15" ht="30" customHeight="1">
      <c r="B57" s="248"/>
      <c r="C57" s="248"/>
      <c r="D57" s="248"/>
      <c r="E57" s="248"/>
      <c r="F57" s="248"/>
      <c r="G57" s="248"/>
      <c r="H57" s="248"/>
      <c r="I57" s="248"/>
      <c r="J57" s="248"/>
    </row>
    <row r="58" spans="2:15" s="249" customFormat="1" ht="18">
      <c r="B58" s="248"/>
      <c r="C58" s="248"/>
      <c r="D58" s="250"/>
      <c r="E58" s="248"/>
      <c r="F58" s="248"/>
      <c r="G58" s="248"/>
      <c r="H58" s="248"/>
      <c r="I58" s="248"/>
      <c r="J58" s="248"/>
    </row>
    <row r="59" spans="2:15">
      <c r="B59" s="223"/>
      <c r="C59" s="223"/>
      <c r="D59" s="805"/>
      <c r="E59" s="805"/>
      <c r="F59" s="805"/>
      <c r="G59" s="805"/>
      <c r="H59" s="805"/>
      <c r="I59" s="805"/>
      <c r="J59" s="251"/>
      <c r="K59" s="223"/>
    </row>
    <row r="60" spans="2:15">
      <c r="B60" s="223"/>
      <c r="C60" s="245"/>
      <c r="D60" s="246"/>
      <c r="E60" s="246"/>
      <c r="F60" s="246"/>
      <c r="G60" s="246"/>
      <c r="H60" s="246"/>
      <c r="I60" s="246"/>
      <c r="J60" s="246"/>
      <c r="K60" s="223"/>
    </row>
    <row r="61" spans="2:15">
      <c r="B61" s="804"/>
      <c r="C61" s="247"/>
      <c r="D61" s="223"/>
      <c r="E61" s="223"/>
      <c r="F61" s="223"/>
      <c r="G61" s="223"/>
      <c r="H61" s="223"/>
      <c r="I61" s="223"/>
      <c r="J61" s="223"/>
      <c r="K61" s="223"/>
    </row>
    <row r="62" spans="2:15">
      <c r="B62" s="804"/>
      <c r="C62" s="247"/>
      <c r="D62" s="223"/>
      <c r="E62" s="223"/>
      <c r="F62" s="223"/>
      <c r="G62" s="223"/>
      <c r="H62" s="223"/>
      <c r="I62" s="223"/>
      <c r="J62" s="223"/>
      <c r="K62" s="223"/>
    </row>
    <row r="63" spans="2:15">
      <c r="B63" s="804"/>
      <c r="C63" s="247"/>
      <c r="D63" s="223"/>
      <c r="E63" s="223"/>
      <c r="F63" s="223"/>
      <c r="G63" s="223"/>
      <c r="H63" s="223"/>
      <c r="I63" s="223"/>
      <c r="J63" s="223"/>
      <c r="K63" s="223"/>
    </row>
    <row r="64" spans="2:15">
      <c r="B64" s="804"/>
      <c r="C64" s="247"/>
      <c r="D64" s="223"/>
      <c r="E64" s="223"/>
      <c r="F64" s="223"/>
      <c r="G64" s="223"/>
      <c r="H64" s="223"/>
      <c r="I64" s="223"/>
      <c r="J64" s="223"/>
      <c r="K64" s="223"/>
    </row>
    <row r="65" spans="2:11">
      <c r="B65" s="804"/>
      <c r="C65" s="247"/>
      <c r="D65" s="223"/>
      <c r="E65" s="223"/>
      <c r="F65" s="223"/>
      <c r="G65" s="223"/>
      <c r="H65" s="223"/>
      <c r="I65" s="223"/>
      <c r="J65" s="223"/>
      <c r="K65" s="223"/>
    </row>
    <row r="66" spans="2:11">
      <c r="B66" s="223"/>
      <c r="C66" s="223"/>
      <c r="D66" s="223"/>
      <c r="E66" s="223"/>
      <c r="F66" s="223"/>
      <c r="G66" s="223"/>
      <c r="H66" s="223"/>
      <c r="I66" s="223"/>
      <c r="J66" s="223"/>
      <c r="K66" s="223"/>
    </row>
    <row r="67" spans="2:11">
      <c r="B67" s="223"/>
      <c r="C67" s="223"/>
      <c r="D67" s="223"/>
      <c r="E67" s="223"/>
      <c r="F67" s="223"/>
      <c r="G67" s="223"/>
      <c r="H67" s="223"/>
      <c r="I67" s="223"/>
      <c r="J67" s="223"/>
      <c r="K67" s="223"/>
    </row>
    <row r="68" spans="2:11">
      <c r="B68" s="223"/>
      <c r="C68" s="223"/>
      <c r="D68" s="223"/>
      <c r="E68" s="223"/>
      <c r="F68" s="223"/>
      <c r="G68" s="223"/>
      <c r="H68" s="223"/>
      <c r="I68" s="223"/>
      <c r="J68" s="223"/>
      <c r="K68" s="223"/>
    </row>
    <row r="69" spans="2:11" ht="15.75" customHeight="1">
      <c r="B69" s="223"/>
      <c r="C69" s="223"/>
      <c r="D69" s="223"/>
      <c r="E69" s="223"/>
      <c r="F69" s="223"/>
      <c r="G69" s="223"/>
      <c r="H69" s="223"/>
      <c r="I69" s="223"/>
      <c r="J69" s="223"/>
      <c r="K69" s="223"/>
    </row>
    <row r="70" spans="2:11">
      <c r="B70" s="223"/>
      <c r="C70" s="223"/>
      <c r="D70" s="223"/>
      <c r="E70" s="223"/>
      <c r="F70" s="223"/>
      <c r="G70" s="223"/>
      <c r="H70" s="223"/>
      <c r="I70" s="223"/>
      <c r="J70" s="223"/>
      <c r="K70" s="223"/>
    </row>
    <row r="71" spans="2:11">
      <c r="B71" s="223"/>
      <c r="C71" s="223"/>
      <c r="D71" s="223"/>
      <c r="E71" s="223"/>
      <c r="F71" s="223"/>
      <c r="G71" s="223"/>
      <c r="H71" s="223"/>
      <c r="I71" s="223"/>
      <c r="J71" s="223"/>
      <c r="K71" s="223"/>
    </row>
    <row r="72" spans="2:11">
      <c r="B72" s="223"/>
      <c r="C72" s="223"/>
      <c r="D72" s="223"/>
      <c r="E72" s="223"/>
      <c r="F72" s="223"/>
      <c r="G72" s="223"/>
      <c r="H72" s="223"/>
      <c r="I72" s="223"/>
      <c r="J72" s="223"/>
      <c r="K72" s="223"/>
    </row>
    <row r="73" spans="2:11">
      <c r="B73" s="223"/>
      <c r="C73" s="223"/>
      <c r="D73" s="223"/>
      <c r="E73" s="223"/>
      <c r="F73" s="223"/>
      <c r="G73" s="223"/>
      <c r="H73" s="223"/>
      <c r="I73" s="223"/>
      <c r="J73" s="223"/>
      <c r="K73" s="223"/>
    </row>
    <row r="74" spans="2:11">
      <c r="B74" s="223"/>
      <c r="C74" s="223"/>
      <c r="D74" s="223"/>
      <c r="E74" s="223"/>
      <c r="F74" s="223"/>
      <c r="G74" s="223"/>
      <c r="H74" s="223"/>
      <c r="I74" s="223"/>
      <c r="J74" s="223"/>
      <c r="K74" s="223"/>
    </row>
    <row r="75" spans="2:11">
      <c r="B75" s="223"/>
      <c r="C75" s="223"/>
      <c r="D75" s="223"/>
      <c r="E75" s="223"/>
      <c r="F75" s="223"/>
      <c r="G75" s="223"/>
      <c r="H75" s="223"/>
      <c r="I75" s="223"/>
      <c r="J75" s="223"/>
      <c r="K75" s="223"/>
    </row>
  </sheetData>
  <protectedRanges>
    <protectedRange sqref="F6:O6" name="Scenario Names"/>
    <protectedRange sqref="D56 F7:O56" name="InputsOutputs"/>
  </protectedRanges>
  <mergeCells count="5">
    <mergeCell ref="B3:J3"/>
    <mergeCell ref="B61:B65"/>
    <mergeCell ref="D59:I59"/>
    <mergeCell ref="F5:J5"/>
    <mergeCell ref="B5:D5"/>
  </mergeCells>
  <conditionalFormatting sqref="D10">
    <cfRule type="expression" dxfId="8" priority="9">
      <formula>$D10="Yes"</formula>
    </cfRule>
  </conditionalFormatting>
  <conditionalFormatting sqref="D11">
    <cfRule type="expression" dxfId="7" priority="7">
      <formula>$D11="Yes"</formula>
    </cfRule>
  </conditionalFormatting>
  <conditionalFormatting sqref="B10:C10">
    <cfRule type="expression" dxfId="6" priority="6">
      <formula>$D$10="Yes"</formula>
    </cfRule>
  </conditionalFormatting>
  <conditionalFormatting sqref="B11:C11">
    <cfRule type="expression" dxfId="5" priority="5">
      <formula>$D$11="Yes"</formula>
    </cfRule>
  </conditionalFormatting>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S38"/>
  <sheetViews>
    <sheetView showGridLines="0" zoomScale="70" zoomScaleNormal="70" workbookViewId="0">
      <pane xSplit="1" ySplit="5" topLeftCell="B6" activePane="bottomRight" state="frozen"/>
      <selection pane="topRight" activeCell="B1" sqref="B1"/>
      <selection pane="bottomLeft" activeCell="A6" sqref="A6"/>
      <selection pane="bottomRight" activeCell="I33" sqref="I33"/>
    </sheetView>
  </sheetViews>
  <sheetFormatPr baseColWidth="10" defaultColWidth="8.83203125" defaultRowHeight="14"/>
  <cols>
    <col min="1" max="1" width="2.5" style="160" customWidth="1"/>
    <col min="2" max="2" width="9.6640625" style="160" customWidth="1"/>
    <col min="3" max="3" width="15" style="160" customWidth="1"/>
    <col min="4" max="6" width="15.6640625" style="160" customWidth="1"/>
    <col min="7" max="7" width="15.6640625" style="161" customWidth="1"/>
    <col min="8" max="14" width="15.6640625" style="160" customWidth="1"/>
    <col min="15" max="15" width="11.5" style="160" customWidth="1"/>
    <col min="16" max="16" width="11.1640625" style="160" customWidth="1"/>
    <col min="17" max="17" width="9.1640625" style="160"/>
    <col min="18" max="18" width="24.83203125" style="160" bestFit="1" customWidth="1"/>
    <col min="19" max="19" width="29.33203125" style="160" bestFit="1" customWidth="1"/>
    <col min="20" max="235" width="9.1640625" style="160"/>
    <col min="236" max="236" width="21.5" style="160" customWidth="1"/>
    <col min="237" max="237" width="16.5" style="160" customWidth="1"/>
    <col min="238" max="238" width="18" style="160" customWidth="1"/>
    <col min="239" max="239" width="23.6640625" style="160" customWidth="1"/>
    <col min="240" max="240" width="26" style="160" customWidth="1"/>
    <col min="241" max="241" width="21.5" style="160" customWidth="1"/>
    <col min="242" max="242" width="20.83203125" style="160" customWidth="1"/>
    <col min="243" max="243" width="0" style="160" hidden="1" customWidth="1"/>
    <col min="244" max="491" width="9.1640625" style="160"/>
    <col min="492" max="492" width="21.5" style="160" customWidth="1"/>
    <col min="493" max="493" width="16.5" style="160" customWidth="1"/>
    <col min="494" max="494" width="18" style="160" customWidth="1"/>
    <col min="495" max="495" width="23.6640625" style="160" customWidth="1"/>
    <col min="496" max="496" width="26" style="160" customWidth="1"/>
    <col min="497" max="497" width="21.5" style="160" customWidth="1"/>
    <col min="498" max="498" width="20.83203125" style="160" customWidth="1"/>
    <col min="499" max="499" width="0" style="160" hidden="1" customWidth="1"/>
    <col min="500" max="747" width="9.1640625" style="160"/>
    <col min="748" max="748" width="21.5" style="160" customWidth="1"/>
    <col min="749" max="749" width="16.5" style="160" customWidth="1"/>
    <col min="750" max="750" width="18" style="160" customWidth="1"/>
    <col min="751" max="751" width="23.6640625" style="160" customWidth="1"/>
    <col min="752" max="752" width="26" style="160" customWidth="1"/>
    <col min="753" max="753" width="21.5" style="160" customWidth="1"/>
    <col min="754" max="754" width="20.83203125" style="160" customWidth="1"/>
    <col min="755" max="755" width="0" style="160" hidden="1" customWidth="1"/>
    <col min="756" max="1003" width="9.1640625" style="160"/>
    <col min="1004" max="1004" width="21.5" style="160" customWidth="1"/>
    <col min="1005" max="1005" width="16.5" style="160" customWidth="1"/>
    <col min="1006" max="1006" width="18" style="160" customWidth="1"/>
    <col min="1007" max="1007" width="23.6640625" style="160" customWidth="1"/>
    <col min="1008" max="1008" width="26" style="160" customWidth="1"/>
    <col min="1009" max="1009" width="21.5" style="160" customWidth="1"/>
    <col min="1010" max="1010" width="20.83203125" style="160" customWidth="1"/>
    <col min="1011" max="1011" width="0" style="160" hidden="1" customWidth="1"/>
    <col min="1012" max="1259" width="9.1640625" style="160"/>
    <col min="1260" max="1260" width="21.5" style="160" customWidth="1"/>
    <col min="1261" max="1261" width="16.5" style="160" customWidth="1"/>
    <col min="1262" max="1262" width="18" style="160" customWidth="1"/>
    <col min="1263" max="1263" width="23.6640625" style="160" customWidth="1"/>
    <col min="1264" max="1264" width="26" style="160" customWidth="1"/>
    <col min="1265" max="1265" width="21.5" style="160" customWidth="1"/>
    <col min="1266" max="1266" width="20.83203125" style="160" customWidth="1"/>
    <col min="1267" max="1267" width="0" style="160" hidden="1" customWidth="1"/>
    <col min="1268" max="1515" width="9.1640625" style="160"/>
    <col min="1516" max="1516" width="21.5" style="160" customWidth="1"/>
    <col min="1517" max="1517" width="16.5" style="160" customWidth="1"/>
    <col min="1518" max="1518" width="18" style="160" customWidth="1"/>
    <col min="1519" max="1519" width="23.6640625" style="160" customWidth="1"/>
    <col min="1520" max="1520" width="26" style="160" customWidth="1"/>
    <col min="1521" max="1521" width="21.5" style="160" customWidth="1"/>
    <col min="1522" max="1522" width="20.83203125" style="160" customWidth="1"/>
    <col min="1523" max="1523" width="0" style="160" hidden="1" customWidth="1"/>
    <col min="1524" max="1771" width="9.1640625" style="160"/>
    <col min="1772" max="1772" width="21.5" style="160" customWidth="1"/>
    <col min="1773" max="1773" width="16.5" style="160" customWidth="1"/>
    <col min="1774" max="1774" width="18" style="160" customWidth="1"/>
    <col min="1775" max="1775" width="23.6640625" style="160" customWidth="1"/>
    <col min="1776" max="1776" width="26" style="160" customWidth="1"/>
    <col min="1777" max="1777" width="21.5" style="160" customWidth="1"/>
    <col min="1778" max="1778" width="20.83203125" style="160" customWidth="1"/>
    <col min="1779" max="1779" width="0" style="160" hidden="1" customWidth="1"/>
    <col min="1780" max="2027" width="9.1640625" style="160"/>
    <col min="2028" max="2028" width="21.5" style="160" customWidth="1"/>
    <col min="2029" max="2029" width="16.5" style="160" customWidth="1"/>
    <col min="2030" max="2030" width="18" style="160" customWidth="1"/>
    <col min="2031" max="2031" width="23.6640625" style="160" customWidth="1"/>
    <col min="2032" max="2032" width="26" style="160" customWidth="1"/>
    <col min="2033" max="2033" width="21.5" style="160" customWidth="1"/>
    <col min="2034" max="2034" width="20.83203125" style="160" customWidth="1"/>
    <col min="2035" max="2035" width="0" style="160" hidden="1" customWidth="1"/>
    <col min="2036" max="2283" width="9.1640625" style="160"/>
    <col min="2284" max="2284" width="21.5" style="160" customWidth="1"/>
    <col min="2285" max="2285" width="16.5" style="160" customWidth="1"/>
    <col min="2286" max="2286" width="18" style="160" customWidth="1"/>
    <col min="2287" max="2287" width="23.6640625" style="160" customWidth="1"/>
    <col min="2288" max="2288" width="26" style="160" customWidth="1"/>
    <col min="2289" max="2289" width="21.5" style="160" customWidth="1"/>
    <col min="2290" max="2290" width="20.83203125" style="160" customWidth="1"/>
    <col min="2291" max="2291" width="0" style="160" hidden="1" customWidth="1"/>
    <col min="2292" max="2539" width="9.1640625" style="160"/>
    <col min="2540" max="2540" width="21.5" style="160" customWidth="1"/>
    <col min="2541" max="2541" width="16.5" style="160" customWidth="1"/>
    <col min="2542" max="2542" width="18" style="160" customWidth="1"/>
    <col min="2543" max="2543" width="23.6640625" style="160" customWidth="1"/>
    <col min="2544" max="2544" width="26" style="160" customWidth="1"/>
    <col min="2545" max="2545" width="21.5" style="160" customWidth="1"/>
    <col min="2546" max="2546" width="20.83203125" style="160" customWidth="1"/>
    <col min="2547" max="2547" width="0" style="160" hidden="1" customWidth="1"/>
    <col min="2548" max="2795" width="9.1640625" style="160"/>
    <col min="2796" max="2796" width="21.5" style="160" customWidth="1"/>
    <col min="2797" max="2797" width="16.5" style="160" customWidth="1"/>
    <col min="2798" max="2798" width="18" style="160" customWidth="1"/>
    <col min="2799" max="2799" width="23.6640625" style="160" customWidth="1"/>
    <col min="2800" max="2800" width="26" style="160" customWidth="1"/>
    <col min="2801" max="2801" width="21.5" style="160" customWidth="1"/>
    <col min="2802" max="2802" width="20.83203125" style="160" customWidth="1"/>
    <col min="2803" max="2803" width="0" style="160" hidden="1" customWidth="1"/>
    <col min="2804" max="3051" width="9.1640625" style="160"/>
    <col min="3052" max="3052" width="21.5" style="160" customWidth="1"/>
    <col min="3053" max="3053" width="16.5" style="160" customWidth="1"/>
    <col min="3054" max="3054" width="18" style="160" customWidth="1"/>
    <col min="3055" max="3055" width="23.6640625" style="160" customWidth="1"/>
    <col min="3056" max="3056" width="26" style="160" customWidth="1"/>
    <col min="3057" max="3057" width="21.5" style="160" customWidth="1"/>
    <col min="3058" max="3058" width="20.83203125" style="160" customWidth="1"/>
    <col min="3059" max="3059" width="0" style="160" hidden="1" customWidth="1"/>
    <col min="3060" max="3307" width="9.1640625" style="160"/>
    <col min="3308" max="3308" width="21.5" style="160" customWidth="1"/>
    <col min="3309" max="3309" width="16.5" style="160" customWidth="1"/>
    <col min="3310" max="3310" width="18" style="160" customWidth="1"/>
    <col min="3311" max="3311" width="23.6640625" style="160" customWidth="1"/>
    <col min="3312" max="3312" width="26" style="160" customWidth="1"/>
    <col min="3313" max="3313" width="21.5" style="160" customWidth="1"/>
    <col min="3314" max="3314" width="20.83203125" style="160" customWidth="1"/>
    <col min="3315" max="3315" width="0" style="160" hidden="1" customWidth="1"/>
    <col min="3316" max="3563" width="9.1640625" style="160"/>
    <col min="3564" max="3564" width="21.5" style="160" customWidth="1"/>
    <col min="3565" max="3565" width="16.5" style="160" customWidth="1"/>
    <col min="3566" max="3566" width="18" style="160" customWidth="1"/>
    <col min="3567" max="3567" width="23.6640625" style="160" customWidth="1"/>
    <col min="3568" max="3568" width="26" style="160" customWidth="1"/>
    <col min="3569" max="3569" width="21.5" style="160" customWidth="1"/>
    <col min="3570" max="3570" width="20.83203125" style="160" customWidth="1"/>
    <col min="3571" max="3571" width="0" style="160" hidden="1" customWidth="1"/>
    <col min="3572" max="3819" width="9.1640625" style="160"/>
    <col min="3820" max="3820" width="21.5" style="160" customWidth="1"/>
    <col min="3821" max="3821" width="16.5" style="160" customWidth="1"/>
    <col min="3822" max="3822" width="18" style="160" customWidth="1"/>
    <col min="3823" max="3823" width="23.6640625" style="160" customWidth="1"/>
    <col min="3824" max="3824" width="26" style="160" customWidth="1"/>
    <col min="3825" max="3825" width="21.5" style="160" customWidth="1"/>
    <col min="3826" max="3826" width="20.83203125" style="160" customWidth="1"/>
    <col min="3827" max="3827" width="0" style="160" hidden="1" customWidth="1"/>
    <col min="3828" max="4075" width="9.1640625" style="160"/>
    <col min="4076" max="4076" width="21.5" style="160" customWidth="1"/>
    <col min="4077" max="4077" width="16.5" style="160" customWidth="1"/>
    <col min="4078" max="4078" width="18" style="160" customWidth="1"/>
    <col min="4079" max="4079" width="23.6640625" style="160" customWidth="1"/>
    <col min="4080" max="4080" width="26" style="160" customWidth="1"/>
    <col min="4081" max="4081" width="21.5" style="160" customWidth="1"/>
    <col min="4082" max="4082" width="20.83203125" style="160" customWidth="1"/>
    <col min="4083" max="4083" width="0" style="160" hidden="1" customWidth="1"/>
    <col min="4084" max="4331" width="9.1640625" style="160"/>
    <col min="4332" max="4332" width="21.5" style="160" customWidth="1"/>
    <col min="4333" max="4333" width="16.5" style="160" customWidth="1"/>
    <col min="4334" max="4334" width="18" style="160" customWidth="1"/>
    <col min="4335" max="4335" width="23.6640625" style="160" customWidth="1"/>
    <col min="4336" max="4336" width="26" style="160" customWidth="1"/>
    <col min="4337" max="4337" width="21.5" style="160" customWidth="1"/>
    <col min="4338" max="4338" width="20.83203125" style="160" customWidth="1"/>
    <col min="4339" max="4339" width="0" style="160" hidden="1" customWidth="1"/>
    <col min="4340" max="4587" width="9.1640625" style="160"/>
    <col min="4588" max="4588" width="21.5" style="160" customWidth="1"/>
    <col min="4589" max="4589" width="16.5" style="160" customWidth="1"/>
    <col min="4590" max="4590" width="18" style="160" customWidth="1"/>
    <col min="4591" max="4591" width="23.6640625" style="160" customWidth="1"/>
    <col min="4592" max="4592" width="26" style="160" customWidth="1"/>
    <col min="4593" max="4593" width="21.5" style="160" customWidth="1"/>
    <col min="4594" max="4594" width="20.83203125" style="160" customWidth="1"/>
    <col min="4595" max="4595" width="0" style="160" hidden="1" customWidth="1"/>
    <col min="4596" max="4843" width="9.1640625" style="160"/>
    <col min="4844" max="4844" width="21.5" style="160" customWidth="1"/>
    <col min="4845" max="4845" width="16.5" style="160" customWidth="1"/>
    <col min="4846" max="4846" width="18" style="160" customWidth="1"/>
    <col min="4847" max="4847" width="23.6640625" style="160" customWidth="1"/>
    <col min="4848" max="4848" width="26" style="160" customWidth="1"/>
    <col min="4849" max="4849" width="21.5" style="160" customWidth="1"/>
    <col min="4850" max="4850" width="20.83203125" style="160" customWidth="1"/>
    <col min="4851" max="4851" width="0" style="160" hidden="1" customWidth="1"/>
    <col min="4852" max="5099" width="9.1640625" style="160"/>
    <col min="5100" max="5100" width="21.5" style="160" customWidth="1"/>
    <col min="5101" max="5101" width="16.5" style="160" customWidth="1"/>
    <col min="5102" max="5102" width="18" style="160" customWidth="1"/>
    <col min="5103" max="5103" width="23.6640625" style="160" customWidth="1"/>
    <col min="5104" max="5104" width="26" style="160" customWidth="1"/>
    <col min="5105" max="5105" width="21.5" style="160" customWidth="1"/>
    <col min="5106" max="5106" width="20.83203125" style="160" customWidth="1"/>
    <col min="5107" max="5107" width="0" style="160" hidden="1" customWidth="1"/>
    <col min="5108" max="5355" width="9.1640625" style="160"/>
    <col min="5356" max="5356" width="21.5" style="160" customWidth="1"/>
    <col min="5357" max="5357" width="16.5" style="160" customWidth="1"/>
    <col min="5358" max="5358" width="18" style="160" customWidth="1"/>
    <col min="5359" max="5359" width="23.6640625" style="160" customWidth="1"/>
    <col min="5360" max="5360" width="26" style="160" customWidth="1"/>
    <col min="5361" max="5361" width="21.5" style="160" customWidth="1"/>
    <col min="5362" max="5362" width="20.83203125" style="160" customWidth="1"/>
    <col min="5363" max="5363" width="0" style="160" hidden="1" customWidth="1"/>
    <col min="5364" max="5611" width="9.1640625" style="160"/>
    <col min="5612" max="5612" width="21.5" style="160" customWidth="1"/>
    <col min="5613" max="5613" width="16.5" style="160" customWidth="1"/>
    <col min="5614" max="5614" width="18" style="160" customWidth="1"/>
    <col min="5615" max="5615" width="23.6640625" style="160" customWidth="1"/>
    <col min="5616" max="5616" width="26" style="160" customWidth="1"/>
    <col min="5617" max="5617" width="21.5" style="160" customWidth="1"/>
    <col min="5618" max="5618" width="20.83203125" style="160" customWidth="1"/>
    <col min="5619" max="5619" width="0" style="160" hidden="1" customWidth="1"/>
    <col min="5620" max="5867" width="9.1640625" style="160"/>
    <col min="5868" max="5868" width="21.5" style="160" customWidth="1"/>
    <col min="5869" max="5869" width="16.5" style="160" customWidth="1"/>
    <col min="5870" max="5870" width="18" style="160" customWidth="1"/>
    <col min="5871" max="5871" width="23.6640625" style="160" customWidth="1"/>
    <col min="5872" max="5872" width="26" style="160" customWidth="1"/>
    <col min="5873" max="5873" width="21.5" style="160" customWidth="1"/>
    <col min="5874" max="5874" width="20.83203125" style="160" customWidth="1"/>
    <col min="5875" max="5875" width="0" style="160" hidden="1" customWidth="1"/>
    <col min="5876" max="6123" width="9.1640625" style="160"/>
    <col min="6124" max="6124" width="21.5" style="160" customWidth="1"/>
    <col min="6125" max="6125" width="16.5" style="160" customWidth="1"/>
    <col min="6126" max="6126" width="18" style="160" customWidth="1"/>
    <col min="6127" max="6127" width="23.6640625" style="160" customWidth="1"/>
    <col min="6128" max="6128" width="26" style="160" customWidth="1"/>
    <col min="6129" max="6129" width="21.5" style="160" customWidth="1"/>
    <col min="6130" max="6130" width="20.83203125" style="160" customWidth="1"/>
    <col min="6131" max="6131" width="0" style="160" hidden="1" customWidth="1"/>
    <col min="6132" max="6379" width="9.1640625" style="160"/>
    <col min="6380" max="6380" width="21.5" style="160" customWidth="1"/>
    <col min="6381" max="6381" width="16.5" style="160" customWidth="1"/>
    <col min="6382" max="6382" width="18" style="160" customWidth="1"/>
    <col min="6383" max="6383" width="23.6640625" style="160" customWidth="1"/>
    <col min="6384" max="6384" width="26" style="160" customWidth="1"/>
    <col min="6385" max="6385" width="21.5" style="160" customWidth="1"/>
    <col min="6386" max="6386" width="20.83203125" style="160" customWidth="1"/>
    <col min="6387" max="6387" width="0" style="160" hidden="1" customWidth="1"/>
    <col min="6388" max="6635" width="9.1640625" style="160"/>
    <col min="6636" max="6636" width="21.5" style="160" customWidth="1"/>
    <col min="6637" max="6637" width="16.5" style="160" customWidth="1"/>
    <col min="6638" max="6638" width="18" style="160" customWidth="1"/>
    <col min="6639" max="6639" width="23.6640625" style="160" customWidth="1"/>
    <col min="6640" max="6640" width="26" style="160" customWidth="1"/>
    <col min="6641" max="6641" width="21.5" style="160" customWidth="1"/>
    <col min="6642" max="6642" width="20.83203125" style="160" customWidth="1"/>
    <col min="6643" max="6643" width="0" style="160" hidden="1" customWidth="1"/>
    <col min="6644" max="6891" width="9.1640625" style="160"/>
    <col min="6892" max="6892" width="21.5" style="160" customWidth="1"/>
    <col min="6893" max="6893" width="16.5" style="160" customWidth="1"/>
    <col min="6894" max="6894" width="18" style="160" customWidth="1"/>
    <col min="6895" max="6895" width="23.6640625" style="160" customWidth="1"/>
    <col min="6896" max="6896" width="26" style="160" customWidth="1"/>
    <col min="6897" max="6897" width="21.5" style="160" customWidth="1"/>
    <col min="6898" max="6898" width="20.83203125" style="160" customWidth="1"/>
    <col min="6899" max="6899" width="0" style="160" hidden="1" customWidth="1"/>
    <col min="6900" max="7147" width="9.1640625" style="160"/>
    <col min="7148" max="7148" width="21.5" style="160" customWidth="1"/>
    <col min="7149" max="7149" width="16.5" style="160" customWidth="1"/>
    <col min="7150" max="7150" width="18" style="160" customWidth="1"/>
    <col min="7151" max="7151" width="23.6640625" style="160" customWidth="1"/>
    <col min="7152" max="7152" width="26" style="160" customWidth="1"/>
    <col min="7153" max="7153" width="21.5" style="160" customWidth="1"/>
    <col min="7154" max="7154" width="20.83203125" style="160" customWidth="1"/>
    <col min="7155" max="7155" width="0" style="160" hidden="1" customWidth="1"/>
    <col min="7156" max="7403" width="9.1640625" style="160"/>
    <col min="7404" max="7404" width="21.5" style="160" customWidth="1"/>
    <col min="7405" max="7405" width="16.5" style="160" customWidth="1"/>
    <col min="7406" max="7406" width="18" style="160" customWidth="1"/>
    <col min="7407" max="7407" width="23.6640625" style="160" customWidth="1"/>
    <col min="7408" max="7408" width="26" style="160" customWidth="1"/>
    <col min="7409" max="7409" width="21.5" style="160" customWidth="1"/>
    <col min="7410" max="7410" width="20.83203125" style="160" customWidth="1"/>
    <col min="7411" max="7411" width="0" style="160" hidden="1" customWidth="1"/>
    <col min="7412" max="7659" width="9.1640625" style="160"/>
    <col min="7660" max="7660" width="21.5" style="160" customWidth="1"/>
    <col min="7661" max="7661" width="16.5" style="160" customWidth="1"/>
    <col min="7662" max="7662" width="18" style="160" customWidth="1"/>
    <col min="7663" max="7663" width="23.6640625" style="160" customWidth="1"/>
    <col min="7664" max="7664" width="26" style="160" customWidth="1"/>
    <col min="7665" max="7665" width="21.5" style="160" customWidth="1"/>
    <col min="7666" max="7666" width="20.83203125" style="160" customWidth="1"/>
    <col min="7667" max="7667" width="0" style="160" hidden="1" customWidth="1"/>
    <col min="7668" max="7915" width="9.1640625" style="160"/>
    <col min="7916" max="7916" width="21.5" style="160" customWidth="1"/>
    <col min="7917" max="7917" width="16.5" style="160" customWidth="1"/>
    <col min="7918" max="7918" width="18" style="160" customWidth="1"/>
    <col min="7919" max="7919" width="23.6640625" style="160" customWidth="1"/>
    <col min="7920" max="7920" width="26" style="160" customWidth="1"/>
    <col min="7921" max="7921" width="21.5" style="160" customWidth="1"/>
    <col min="7922" max="7922" width="20.83203125" style="160" customWidth="1"/>
    <col min="7923" max="7923" width="0" style="160" hidden="1" customWidth="1"/>
    <col min="7924" max="8171" width="9.1640625" style="160"/>
    <col min="8172" max="8172" width="21.5" style="160" customWidth="1"/>
    <col min="8173" max="8173" width="16.5" style="160" customWidth="1"/>
    <col min="8174" max="8174" width="18" style="160" customWidth="1"/>
    <col min="8175" max="8175" width="23.6640625" style="160" customWidth="1"/>
    <col min="8176" max="8176" width="26" style="160" customWidth="1"/>
    <col min="8177" max="8177" width="21.5" style="160" customWidth="1"/>
    <col min="8178" max="8178" width="20.83203125" style="160" customWidth="1"/>
    <col min="8179" max="8179" width="0" style="160" hidden="1" customWidth="1"/>
    <col min="8180" max="8427" width="9.1640625" style="160"/>
    <col min="8428" max="8428" width="21.5" style="160" customWidth="1"/>
    <col min="8429" max="8429" width="16.5" style="160" customWidth="1"/>
    <col min="8430" max="8430" width="18" style="160" customWidth="1"/>
    <col min="8431" max="8431" width="23.6640625" style="160" customWidth="1"/>
    <col min="8432" max="8432" width="26" style="160" customWidth="1"/>
    <col min="8433" max="8433" width="21.5" style="160" customWidth="1"/>
    <col min="8434" max="8434" width="20.83203125" style="160" customWidth="1"/>
    <col min="8435" max="8435" width="0" style="160" hidden="1" customWidth="1"/>
    <col min="8436" max="8683" width="9.1640625" style="160"/>
    <col min="8684" max="8684" width="21.5" style="160" customWidth="1"/>
    <col min="8685" max="8685" width="16.5" style="160" customWidth="1"/>
    <col min="8686" max="8686" width="18" style="160" customWidth="1"/>
    <col min="8687" max="8687" width="23.6640625" style="160" customWidth="1"/>
    <col min="8688" max="8688" width="26" style="160" customWidth="1"/>
    <col min="8689" max="8689" width="21.5" style="160" customWidth="1"/>
    <col min="8690" max="8690" width="20.83203125" style="160" customWidth="1"/>
    <col min="8691" max="8691" width="0" style="160" hidden="1" customWidth="1"/>
    <col min="8692" max="8939" width="9.1640625" style="160"/>
    <col min="8940" max="8940" width="21.5" style="160" customWidth="1"/>
    <col min="8941" max="8941" width="16.5" style="160" customWidth="1"/>
    <col min="8942" max="8942" width="18" style="160" customWidth="1"/>
    <col min="8943" max="8943" width="23.6640625" style="160" customWidth="1"/>
    <col min="8944" max="8944" width="26" style="160" customWidth="1"/>
    <col min="8945" max="8945" width="21.5" style="160" customWidth="1"/>
    <col min="8946" max="8946" width="20.83203125" style="160" customWidth="1"/>
    <col min="8947" max="8947" width="0" style="160" hidden="1" customWidth="1"/>
    <col min="8948" max="9195" width="9.1640625" style="160"/>
    <col min="9196" max="9196" width="21.5" style="160" customWidth="1"/>
    <col min="9197" max="9197" width="16.5" style="160" customWidth="1"/>
    <col min="9198" max="9198" width="18" style="160" customWidth="1"/>
    <col min="9199" max="9199" width="23.6640625" style="160" customWidth="1"/>
    <col min="9200" max="9200" width="26" style="160" customWidth="1"/>
    <col min="9201" max="9201" width="21.5" style="160" customWidth="1"/>
    <col min="9202" max="9202" width="20.83203125" style="160" customWidth="1"/>
    <col min="9203" max="9203" width="0" style="160" hidden="1" customWidth="1"/>
    <col min="9204" max="9451" width="9.1640625" style="160"/>
    <col min="9452" max="9452" width="21.5" style="160" customWidth="1"/>
    <col min="9453" max="9453" width="16.5" style="160" customWidth="1"/>
    <col min="9454" max="9454" width="18" style="160" customWidth="1"/>
    <col min="9455" max="9455" width="23.6640625" style="160" customWidth="1"/>
    <col min="9456" max="9456" width="26" style="160" customWidth="1"/>
    <col min="9457" max="9457" width="21.5" style="160" customWidth="1"/>
    <col min="9458" max="9458" width="20.83203125" style="160" customWidth="1"/>
    <col min="9459" max="9459" width="0" style="160" hidden="1" customWidth="1"/>
    <col min="9460" max="9707" width="9.1640625" style="160"/>
    <col min="9708" max="9708" width="21.5" style="160" customWidth="1"/>
    <col min="9709" max="9709" width="16.5" style="160" customWidth="1"/>
    <col min="9710" max="9710" width="18" style="160" customWidth="1"/>
    <col min="9711" max="9711" width="23.6640625" style="160" customWidth="1"/>
    <col min="9712" max="9712" width="26" style="160" customWidth="1"/>
    <col min="9713" max="9713" width="21.5" style="160" customWidth="1"/>
    <col min="9714" max="9714" width="20.83203125" style="160" customWidth="1"/>
    <col min="9715" max="9715" width="0" style="160" hidden="1" customWidth="1"/>
    <col min="9716" max="9963" width="9.1640625" style="160"/>
    <col min="9964" max="9964" width="21.5" style="160" customWidth="1"/>
    <col min="9965" max="9965" width="16.5" style="160" customWidth="1"/>
    <col min="9966" max="9966" width="18" style="160" customWidth="1"/>
    <col min="9967" max="9967" width="23.6640625" style="160" customWidth="1"/>
    <col min="9968" max="9968" width="26" style="160" customWidth="1"/>
    <col min="9969" max="9969" width="21.5" style="160" customWidth="1"/>
    <col min="9970" max="9970" width="20.83203125" style="160" customWidth="1"/>
    <col min="9971" max="9971" width="0" style="160" hidden="1" customWidth="1"/>
    <col min="9972" max="10219" width="9.1640625" style="160"/>
    <col min="10220" max="10220" width="21.5" style="160" customWidth="1"/>
    <col min="10221" max="10221" width="16.5" style="160" customWidth="1"/>
    <col min="10222" max="10222" width="18" style="160" customWidth="1"/>
    <col min="10223" max="10223" width="23.6640625" style="160" customWidth="1"/>
    <col min="10224" max="10224" width="26" style="160" customWidth="1"/>
    <col min="10225" max="10225" width="21.5" style="160" customWidth="1"/>
    <col min="10226" max="10226" width="20.83203125" style="160" customWidth="1"/>
    <col min="10227" max="10227" width="0" style="160" hidden="1" customWidth="1"/>
    <col min="10228" max="10475" width="9.1640625" style="160"/>
    <col min="10476" max="10476" width="21.5" style="160" customWidth="1"/>
    <col min="10477" max="10477" width="16.5" style="160" customWidth="1"/>
    <col min="10478" max="10478" width="18" style="160" customWidth="1"/>
    <col min="10479" max="10479" width="23.6640625" style="160" customWidth="1"/>
    <col min="10480" max="10480" width="26" style="160" customWidth="1"/>
    <col min="10481" max="10481" width="21.5" style="160" customWidth="1"/>
    <col min="10482" max="10482" width="20.83203125" style="160" customWidth="1"/>
    <col min="10483" max="10483" width="0" style="160" hidden="1" customWidth="1"/>
    <col min="10484" max="10731" width="9.1640625" style="160"/>
    <col min="10732" max="10732" width="21.5" style="160" customWidth="1"/>
    <col min="10733" max="10733" width="16.5" style="160" customWidth="1"/>
    <col min="10734" max="10734" width="18" style="160" customWidth="1"/>
    <col min="10735" max="10735" width="23.6640625" style="160" customWidth="1"/>
    <col min="10736" max="10736" width="26" style="160" customWidth="1"/>
    <col min="10737" max="10737" width="21.5" style="160" customWidth="1"/>
    <col min="10738" max="10738" width="20.83203125" style="160" customWidth="1"/>
    <col min="10739" max="10739" width="0" style="160" hidden="1" customWidth="1"/>
    <col min="10740" max="10987" width="9.1640625" style="160"/>
    <col min="10988" max="10988" width="21.5" style="160" customWidth="1"/>
    <col min="10989" max="10989" width="16.5" style="160" customWidth="1"/>
    <col min="10990" max="10990" width="18" style="160" customWidth="1"/>
    <col min="10991" max="10991" width="23.6640625" style="160" customWidth="1"/>
    <col min="10992" max="10992" width="26" style="160" customWidth="1"/>
    <col min="10993" max="10993" width="21.5" style="160" customWidth="1"/>
    <col min="10994" max="10994" width="20.83203125" style="160" customWidth="1"/>
    <col min="10995" max="10995" width="0" style="160" hidden="1" customWidth="1"/>
    <col min="10996" max="11243" width="9.1640625" style="160"/>
    <col min="11244" max="11244" width="21.5" style="160" customWidth="1"/>
    <col min="11245" max="11245" width="16.5" style="160" customWidth="1"/>
    <col min="11246" max="11246" width="18" style="160" customWidth="1"/>
    <col min="11247" max="11247" width="23.6640625" style="160" customWidth="1"/>
    <col min="11248" max="11248" width="26" style="160" customWidth="1"/>
    <col min="11249" max="11249" width="21.5" style="160" customWidth="1"/>
    <col min="11250" max="11250" width="20.83203125" style="160" customWidth="1"/>
    <col min="11251" max="11251" width="0" style="160" hidden="1" customWidth="1"/>
    <col min="11252" max="11499" width="9.1640625" style="160"/>
    <col min="11500" max="11500" width="21.5" style="160" customWidth="1"/>
    <col min="11501" max="11501" width="16.5" style="160" customWidth="1"/>
    <col min="11502" max="11502" width="18" style="160" customWidth="1"/>
    <col min="11503" max="11503" width="23.6640625" style="160" customWidth="1"/>
    <col min="11504" max="11504" width="26" style="160" customWidth="1"/>
    <col min="11505" max="11505" width="21.5" style="160" customWidth="1"/>
    <col min="11506" max="11506" width="20.83203125" style="160" customWidth="1"/>
    <col min="11507" max="11507" width="0" style="160" hidden="1" customWidth="1"/>
    <col min="11508" max="11755" width="9.1640625" style="160"/>
    <col min="11756" max="11756" width="21.5" style="160" customWidth="1"/>
    <col min="11757" max="11757" width="16.5" style="160" customWidth="1"/>
    <col min="11758" max="11758" width="18" style="160" customWidth="1"/>
    <col min="11759" max="11759" width="23.6640625" style="160" customWidth="1"/>
    <col min="11760" max="11760" width="26" style="160" customWidth="1"/>
    <col min="11761" max="11761" width="21.5" style="160" customWidth="1"/>
    <col min="11762" max="11762" width="20.83203125" style="160" customWidth="1"/>
    <col min="11763" max="11763" width="0" style="160" hidden="1" customWidth="1"/>
    <col min="11764" max="12011" width="9.1640625" style="160"/>
    <col min="12012" max="12012" width="21.5" style="160" customWidth="1"/>
    <col min="12013" max="12013" width="16.5" style="160" customWidth="1"/>
    <col min="12014" max="12014" width="18" style="160" customWidth="1"/>
    <col min="12015" max="12015" width="23.6640625" style="160" customWidth="1"/>
    <col min="12016" max="12016" width="26" style="160" customWidth="1"/>
    <col min="12017" max="12017" width="21.5" style="160" customWidth="1"/>
    <col min="12018" max="12018" width="20.83203125" style="160" customWidth="1"/>
    <col min="12019" max="12019" width="0" style="160" hidden="1" customWidth="1"/>
    <col min="12020" max="12267" width="9.1640625" style="160"/>
    <col min="12268" max="12268" width="21.5" style="160" customWidth="1"/>
    <col min="12269" max="12269" width="16.5" style="160" customWidth="1"/>
    <col min="12270" max="12270" width="18" style="160" customWidth="1"/>
    <col min="12271" max="12271" width="23.6640625" style="160" customWidth="1"/>
    <col min="12272" max="12272" width="26" style="160" customWidth="1"/>
    <col min="12273" max="12273" width="21.5" style="160" customWidth="1"/>
    <col min="12274" max="12274" width="20.83203125" style="160" customWidth="1"/>
    <col min="12275" max="12275" width="0" style="160" hidden="1" customWidth="1"/>
    <col min="12276" max="12523" width="9.1640625" style="160"/>
    <col min="12524" max="12524" width="21.5" style="160" customWidth="1"/>
    <col min="12525" max="12525" width="16.5" style="160" customWidth="1"/>
    <col min="12526" max="12526" width="18" style="160" customWidth="1"/>
    <col min="12527" max="12527" width="23.6640625" style="160" customWidth="1"/>
    <col min="12528" max="12528" width="26" style="160" customWidth="1"/>
    <col min="12529" max="12529" width="21.5" style="160" customWidth="1"/>
    <col min="12530" max="12530" width="20.83203125" style="160" customWidth="1"/>
    <col min="12531" max="12531" width="0" style="160" hidden="1" customWidth="1"/>
    <col min="12532" max="12779" width="9.1640625" style="160"/>
    <col min="12780" max="12780" width="21.5" style="160" customWidth="1"/>
    <col min="12781" max="12781" width="16.5" style="160" customWidth="1"/>
    <col min="12782" max="12782" width="18" style="160" customWidth="1"/>
    <col min="12783" max="12783" width="23.6640625" style="160" customWidth="1"/>
    <col min="12784" max="12784" width="26" style="160" customWidth="1"/>
    <col min="12785" max="12785" width="21.5" style="160" customWidth="1"/>
    <col min="12786" max="12786" width="20.83203125" style="160" customWidth="1"/>
    <col min="12787" max="12787" width="0" style="160" hidden="1" customWidth="1"/>
    <col min="12788" max="13035" width="9.1640625" style="160"/>
    <col min="13036" max="13036" width="21.5" style="160" customWidth="1"/>
    <col min="13037" max="13037" width="16.5" style="160" customWidth="1"/>
    <col min="13038" max="13038" width="18" style="160" customWidth="1"/>
    <col min="13039" max="13039" width="23.6640625" style="160" customWidth="1"/>
    <col min="13040" max="13040" width="26" style="160" customWidth="1"/>
    <col min="13041" max="13041" width="21.5" style="160" customWidth="1"/>
    <col min="13042" max="13042" width="20.83203125" style="160" customWidth="1"/>
    <col min="13043" max="13043" width="0" style="160" hidden="1" customWidth="1"/>
    <col min="13044" max="13291" width="9.1640625" style="160"/>
    <col min="13292" max="13292" width="21.5" style="160" customWidth="1"/>
    <col min="13293" max="13293" width="16.5" style="160" customWidth="1"/>
    <col min="13294" max="13294" width="18" style="160" customWidth="1"/>
    <col min="13295" max="13295" width="23.6640625" style="160" customWidth="1"/>
    <col min="13296" max="13296" width="26" style="160" customWidth="1"/>
    <col min="13297" max="13297" width="21.5" style="160" customWidth="1"/>
    <col min="13298" max="13298" width="20.83203125" style="160" customWidth="1"/>
    <col min="13299" max="13299" width="0" style="160" hidden="1" customWidth="1"/>
    <col min="13300" max="13547" width="9.1640625" style="160"/>
    <col min="13548" max="13548" width="21.5" style="160" customWidth="1"/>
    <col min="13549" max="13549" width="16.5" style="160" customWidth="1"/>
    <col min="13550" max="13550" width="18" style="160" customWidth="1"/>
    <col min="13551" max="13551" width="23.6640625" style="160" customWidth="1"/>
    <col min="13552" max="13552" width="26" style="160" customWidth="1"/>
    <col min="13553" max="13553" width="21.5" style="160" customWidth="1"/>
    <col min="13554" max="13554" width="20.83203125" style="160" customWidth="1"/>
    <col min="13555" max="13555" width="0" style="160" hidden="1" customWidth="1"/>
    <col min="13556" max="13803" width="9.1640625" style="160"/>
    <col min="13804" max="13804" width="21.5" style="160" customWidth="1"/>
    <col min="13805" max="13805" width="16.5" style="160" customWidth="1"/>
    <col min="13806" max="13806" width="18" style="160" customWidth="1"/>
    <col min="13807" max="13807" width="23.6640625" style="160" customWidth="1"/>
    <col min="13808" max="13808" width="26" style="160" customWidth="1"/>
    <col min="13809" max="13809" width="21.5" style="160" customWidth="1"/>
    <col min="13810" max="13810" width="20.83203125" style="160" customWidth="1"/>
    <col min="13811" max="13811" width="0" style="160" hidden="1" customWidth="1"/>
    <col min="13812" max="14059" width="9.1640625" style="160"/>
    <col min="14060" max="14060" width="21.5" style="160" customWidth="1"/>
    <col min="14061" max="14061" width="16.5" style="160" customWidth="1"/>
    <col min="14062" max="14062" width="18" style="160" customWidth="1"/>
    <col min="14063" max="14063" width="23.6640625" style="160" customWidth="1"/>
    <col min="14064" max="14064" width="26" style="160" customWidth="1"/>
    <col min="14065" max="14065" width="21.5" style="160" customWidth="1"/>
    <col min="14066" max="14066" width="20.83203125" style="160" customWidth="1"/>
    <col min="14067" max="14067" width="0" style="160" hidden="1" customWidth="1"/>
    <col min="14068" max="14315" width="9.1640625" style="160"/>
    <col min="14316" max="14316" width="21.5" style="160" customWidth="1"/>
    <col min="14317" max="14317" width="16.5" style="160" customWidth="1"/>
    <col min="14318" max="14318" width="18" style="160" customWidth="1"/>
    <col min="14319" max="14319" width="23.6640625" style="160" customWidth="1"/>
    <col min="14320" max="14320" width="26" style="160" customWidth="1"/>
    <col min="14321" max="14321" width="21.5" style="160" customWidth="1"/>
    <col min="14322" max="14322" width="20.83203125" style="160" customWidth="1"/>
    <col min="14323" max="14323" width="0" style="160" hidden="1" customWidth="1"/>
    <col min="14324" max="14571" width="9.1640625" style="160"/>
    <col min="14572" max="14572" width="21.5" style="160" customWidth="1"/>
    <col min="14573" max="14573" width="16.5" style="160" customWidth="1"/>
    <col min="14574" max="14574" width="18" style="160" customWidth="1"/>
    <col min="14575" max="14575" width="23.6640625" style="160" customWidth="1"/>
    <col min="14576" max="14576" width="26" style="160" customWidth="1"/>
    <col min="14577" max="14577" width="21.5" style="160" customWidth="1"/>
    <col min="14578" max="14578" width="20.83203125" style="160" customWidth="1"/>
    <col min="14579" max="14579" width="0" style="160" hidden="1" customWidth="1"/>
    <col min="14580" max="14827" width="9.1640625" style="160"/>
    <col min="14828" max="14828" width="21.5" style="160" customWidth="1"/>
    <col min="14829" max="14829" width="16.5" style="160" customWidth="1"/>
    <col min="14830" max="14830" width="18" style="160" customWidth="1"/>
    <col min="14831" max="14831" width="23.6640625" style="160" customWidth="1"/>
    <col min="14832" max="14832" width="26" style="160" customWidth="1"/>
    <col min="14833" max="14833" width="21.5" style="160" customWidth="1"/>
    <col min="14834" max="14834" width="20.83203125" style="160" customWidth="1"/>
    <col min="14835" max="14835" width="0" style="160" hidden="1" customWidth="1"/>
    <col min="14836" max="15083" width="9.1640625" style="160"/>
    <col min="15084" max="15084" width="21.5" style="160" customWidth="1"/>
    <col min="15085" max="15085" width="16.5" style="160" customWidth="1"/>
    <col min="15086" max="15086" width="18" style="160" customWidth="1"/>
    <col min="15087" max="15087" width="23.6640625" style="160" customWidth="1"/>
    <col min="15088" max="15088" width="26" style="160" customWidth="1"/>
    <col min="15089" max="15089" width="21.5" style="160" customWidth="1"/>
    <col min="15090" max="15090" width="20.83203125" style="160" customWidth="1"/>
    <col min="15091" max="15091" width="0" style="160" hidden="1" customWidth="1"/>
    <col min="15092" max="15339" width="9.1640625" style="160"/>
    <col min="15340" max="15340" width="21.5" style="160" customWidth="1"/>
    <col min="15341" max="15341" width="16.5" style="160" customWidth="1"/>
    <col min="15342" max="15342" width="18" style="160" customWidth="1"/>
    <col min="15343" max="15343" width="23.6640625" style="160" customWidth="1"/>
    <col min="15344" max="15344" width="26" style="160" customWidth="1"/>
    <col min="15345" max="15345" width="21.5" style="160" customWidth="1"/>
    <col min="15346" max="15346" width="20.83203125" style="160" customWidth="1"/>
    <col min="15347" max="15347" width="0" style="160" hidden="1" customWidth="1"/>
    <col min="15348" max="15595" width="9.1640625" style="160"/>
    <col min="15596" max="15596" width="21.5" style="160" customWidth="1"/>
    <col min="15597" max="15597" width="16.5" style="160" customWidth="1"/>
    <col min="15598" max="15598" width="18" style="160" customWidth="1"/>
    <col min="15599" max="15599" width="23.6640625" style="160" customWidth="1"/>
    <col min="15600" max="15600" width="26" style="160" customWidth="1"/>
    <col min="15601" max="15601" width="21.5" style="160" customWidth="1"/>
    <col min="15602" max="15602" width="20.83203125" style="160" customWidth="1"/>
    <col min="15603" max="15603" width="0" style="160" hidden="1" customWidth="1"/>
    <col min="15604" max="15851" width="9.1640625" style="160"/>
    <col min="15852" max="15852" width="21.5" style="160" customWidth="1"/>
    <col min="15853" max="15853" width="16.5" style="160" customWidth="1"/>
    <col min="15854" max="15854" width="18" style="160" customWidth="1"/>
    <col min="15855" max="15855" width="23.6640625" style="160" customWidth="1"/>
    <col min="15856" max="15856" width="26" style="160" customWidth="1"/>
    <col min="15857" max="15857" width="21.5" style="160" customWidth="1"/>
    <col min="15858" max="15858" width="20.83203125" style="160" customWidth="1"/>
    <col min="15859" max="15859" width="0" style="160" hidden="1" customWidth="1"/>
    <col min="15860" max="16107" width="9.1640625" style="160"/>
    <col min="16108" max="16108" width="21.5" style="160" customWidth="1"/>
    <col min="16109" max="16109" width="16.5" style="160" customWidth="1"/>
    <col min="16110" max="16110" width="18" style="160" customWidth="1"/>
    <col min="16111" max="16111" width="23.6640625" style="160" customWidth="1"/>
    <col min="16112" max="16112" width="26" style="160" customWidth="1"/>
    <col min="16113" max="16113" width="21.5" style="160" customWidth="1"/>
    <col min="16114" max="16114" width="20.83203125" style="160" customWidth="1"/>
    <col min="16115" max="16115" width="0" style="160" hidden="1" customWidth="1"/>
    <col min="16116" max="16384" width="9.1640625" style="160"/>
  </cols>
  <sheetData>
    <row r="1" spans="2:19" ht="9" customHeight="1" thickBot="1"/>
    <row r="2" spans="2:19" s="162" customFormat="1" ht="30" customHeight="1" thickBot="1">
      <c r="B2" s="184" t="s">
        <v>53</v>
      </c>
      <c r="C2" s="185"/>
      <c r="D2" s="185"/>
      <c r="E2" s="185"/>
      <c r="F2" s="185"/>
      <c r="G2" s="186"/>
      <c r="H2" s="185"/>
      <c r="I2" s="185"/>
      <c r="J2" s="185"/>
      <c r="K2" s="185"/>
      <c r="L2" s="185"/>
      <c r="M2" s="187"/>
      <c r="N2" s="186"/>
      <c r="O2" s="186"/>
      <c r="P2" s="188"/>
    </row>
    <row r="3" spans="2:19">
      <c r="G3" s="189"/>
      <c r="M3" s="190"/>
      <c r="N3" s="191"/>
      <c r="O3" s="191"/>
      <c r="P3" s="191"/>
      <c r="R3" s="813" t="s">
        <v>259</v>
      </c>
      <c r="S3" s="814"/>
    </row>
    <row r="4" spans="2:19" ht="45" customHeight="1">
      <c r="B4" s="163" t="s">
        <v>220</v>
      </c>
      <c r="C4" s="164" t="s">
        <v>219</v>
      </c>
      <c r="D4" s="164" t="s">
        <v>54</v>
      </c>
      <c r="E4" s="164" t="s">
        <v>11</v>
      </c>
      <c r="F4" s="164" t="s">
        <v>58</v>
      </c>
      <c r="G4" s="164" t="s">
        <v>156</v>
      </c>
      <c r="H4" s="164" t="s">
        <v>257</v>
      </c>
      <c r="I4" s="164" t="s">
        <v>345</v>
      </c>
      <c r="J4" s="164" t="s">
        <v>346</v>
      </c>
      <c r="K4" s="164" t="s">
        <v>347</v>
      </c>
      <c r="L4" s="164" t="s">
        <v>348</v>
      </c>
      <c r="M4" s="164" t="s">
        <v>155</v>
      </c>
      <c r="N4" s="164" t="s">
        <v>56</v>
      </c>
      <c r="O4" s="164" t="s">
        <v>57</v>
      </c>
      <c r="P4" s="165" t="s">
        <v>58</v>
      </c>
      <c r="R4" s="809" t="s">
        <v>349</v>
      </c>
      <c r="S4" s="811" t="s">
        <v>258</v>
      </c>
    </row>
    <row r="5" spans="2:19" ht="15.75" customHeight="1">
      <c r="B5" s="166" t="s">
        <v>55</v>
      </c>
      <c r="C5" s="167" t="s">
        <v>52</v>
      </c>
      <c r="D5" s="167" t="s">
        <v>0</v>
      </c>
      <c r="E5" s="167" t="s">
        <v>0</v>
      </c>
      <c r="F5" s="167" t="s">
        <v>0</v>
      </c>
      <c r="G5" s="168" t="s">
        <v>0</v>
      </c>
      <c r="H5" s="168" t="s">
        <v>0</v>
      </c>
      <c r="I5" s="168" t="s">
        <v>0</v>
      </c>
      <c r="J5" s="168" t="s">
        <v>0</v>
      </c>
      <c r="K5" s="167" t="s">
        <v>0</v>
      </c>
      <c r="L5" s="167" t="s">
        <v>0</v>
      </c>
      <c r="M5" s="168" t="s">
        <v>0</v>
      </c>
      <c r="N5" s="168" t="s">
        <v>0</v>
      </c>
      <c r="O5" s="167" t="s">
        <v>1</v>
      </c>
      <c r="P5" s="169" t="s">
        <v>59</v>
      </c>
      <c r="R5" s="810"/>
      <c r="S5" s="812"/>
    </row>
    <row r="6" spans="2:19" ht="15.75" customHeight="1">
      <c r="B6" s="170">
        <v>0</v>
      </c>
      <c r="C6" s="171"/>
      <c r="D6" s="172"/>
      <c r="E6" s="172"/>
      <c r="F6" s="172"/>
      <c r="G6" s="173"/>
      <c r="H6" s="172"/>
      <c r="I6" s="172"/>
      <c r="J6" s="172"/>
      <c r="K6" s="172"/>
      <c r="L6" s="223"/>
      <c r="M6" s="173">
        <f>'Cash Flow'!F77</f>
        <v>-10402500</v>
      </c>
      <c r="N6" s="173">
        <f>M6</f>
        <v>-10402500</v>
      </c>
      <c r="O6" s="192"/>
      <c r="P6" s="193"/>
      <c r="R6" s="390"/>
      <c r="S6" s="391"/>
    </row>
    <row r="7" spans="2:19" s="180" customFormat="1">
      <c r="B7" s="175">
        <v>1</v>
      </c>
      <c r="C7" s="176">
        <f>IF($B7&gt;Inputs!$G$19,"",IF($B7&lt;=Inputs!$Q$13,LOOKUP($B7,'Cash Flow'!$F$2:$AJ$2,'Cash Flow'!$F$21:$AJ$21),LOOKUP($B7,'Cash Flow'!$F$2:$AJ$2,'Cash Flow'!$F$23:$AJ$23)))</f>
        <v>12.849999999999998</v>
      </c>
      <c r="D7" s="173">
        <f>IF($B7&gt;Inputs!$G$19,"",LOOKUP($B7,'Cash Flow'!$F$2:$AJ$2,'Cash Flow'!$F$31:$AJ$31))</f>
        <v>3350198.1142244111</v>
      </c>
      <c r="E7" s="173">
        <f>IF($B7&gt;Inputs!$G$19,"",LOOKUP($B7,'Cash Flow'!$F$2:$AJ$2,'Cash Flow'!$F$45:$AJ$45))</f>
        <v>-1755905.6940000001</v>
      </c>
      <c r="F7" s="173">
        <f>IF($B7&gt;Inputs!$G$19,"",LOOKUP($B7,'Cash Flow'!$F$2:$AJ$2,'Cash Flow'!$F$95:$AJ$95))</f>
        <v>-829778.63182494417</v>
      </c>
      <c r="G7" s="173">
        <f>IF($B7&gt;Inputs!$G$19,"",LOOKUP($B7,'Cash Flow'!$F$2:$AJ$2,'Cash Flow'!$F$57:$AJ$57)+LOOKUP($B7,'Cash Flow'!$F$2:$AJ$2,'Cash Flow'!$F$58:$AJ$58))</f>
        <v>0</v>
      </c>
      <c r="H7" s="173">
        <f>IF($B7&gt;Inputs!$G$19,"",SUM(D7:G7))</f>
        <v>764513.78839946678</v>
      </c>
      <c r="I7" s="173">
        <f>IF($B7&gt;Inputs!$G$19,"",LOOKUP($B7,'Cash Flow'!$F$2:$AJ$2,'Cash Flow'!$F$70:$AJ$70))</f>
        <v>-1711502.8844630895</v>
      </c>
      <c r="J7" s="173">
        <f>IF($B7&gt;Inputs!$G$19,"",LOOKUP($B7,'Cash Flow'!$F$2:$AJ$2,'Cash Flow'!$F$71:$AJ$71))</f>
        <v>-1711502.8844630895</v>
      </c>
      <c r="K7" s="173">
        <f>IF($B7&gt;Inputs!$G$19,"",LOOKUP($B7,'Cash Flow'!$F$2:$AJ$2,'Cash Flow'!$F$73:$AJ$73)+LOOKUP($B7,'Cash Flow'!$F$2:$AJ$2,'Cash Flow'!$F$75:$AJ$75))</f>
        <v>5437283.7987493044</v>
      </c>
      <c r="L7" s="173">
        <f>IF($B7&gt;Inputs!$G$19,"",LOOKUP($B7,'Cash Flow'!$F$2:$AJ$2,'Cash Flow'!$F$74:$AJ$74)+LOOKUP($B7,'Cash Flow'!$F$2:$AJ$2,'Cash Flow'!$F$76:$AJ$76))</f>
        <v>145477.74517936262</v>
      </c>
      <c r="M7" s="173">
        <f>IF($B7&gt;Inputs!$G$19,"",H7+K7+L7)</f>
        <v>6347275.3323281333</v>
      </c>
      <c r="N7" s="173">
        <f>IF($B7&gt;Inputs!$G$19,N6,N6+M7)</f>
        <v>-4055224.6676718667</v>
      </c>
      <c r="O7" s="177">
        <f>IF($B7&gt;Inputs!$G$19,"",LOOKUP($B7,'Cash Flow'!$F$2:$AJ$2,'Cash Flow'!$F$78:$AJ$78))</f>
        <v>-0.3898317392618954</v>
      </c>
      <c r="P7" s="178">
        <f>IF($B7&gt;Inputs!$G$19,"",LOOKUP($B7,'Cash Flow'!$F$2:$AJ$2,'Cash Flow'!$F$51:$AJ$51))</f>
        <v>1.9213466810034148</v>
      </c>
      <c r="R7" s="392">
        <f>IF($B7&gt;Inputs!$G$19,"",D7+K7+L7)</f>
        <v>8932959.6581530776</v>
      </c>
      <c r="S7" s="393">
        <f>IF($B7&gt;Inputs!$G$19,"",-(E7+F7+G7))</f>
        <v>2585684.3258249443</v>
      </c>
    </row>
    <row r="8" spans="2:19" s="180" customFormat="1" ht="15.75" customHeight="1">
      <c r="B8" s="181">
        <v>2</v>
      </c>
      <c r="C8" s="176">
        <f>IF($B8&gt;Inputs!$G$19,"",IF($B8&lt;=Inputs!$Q$13,LOOKUP($B8,'Cash Flow'!$F$2:$AJ$2,'Cash Flow'!$F$21:$AJ$21),LOOKUP($B8,'Cash Flow'!$F$2:$AJ$2,'Cash Flow'!$F$23:$AJ$23)))</f>
        <v>12.849999999999998</v>
      </c>
      <c r="D8" s="173">
        <f>IF($B8&gt;Inputs!$G$19,"",LOOKUP($B8,'Cash Flow'!$F$2:$AJ$2,'Cash Flow'!$F$31:$AJ$31))</f>
        <v>3350198.1142244111</v>
      </c>
      <c r="E8" s="173">
        <f>IF($B8&gt;Inputs!$G$19,"",LOOKUP($B8,'Cash Flow'!$F$2:$AJ$2,'Cash Flow'!$F$45:$AJ$45))</f>
        <v>-1806352.8090612246</v>
      </c>
      <c r="F8" s="173">
        <f>IF($B8&gt;Inputs!$G$19,"",LOOKUP($B8,'Cash Flow'!$F$2:$AJ$2,'Cash Flow'!$F$95:$AJ$95))</f>
        <v>-829778.63182494428</v>
      </c>
      <c r="G8" s="173">
        <f>IF($B8&gt;Inputs!$G$19,"",LOOKUP($B8,'Cash Flow'!$F$2:$AJ$2,'Cash Flow'!$F$57:$AJ$57)+LOOKUP($B8,'Cash Flow'!$F$2:$AJ$2,'Cash Flow'!$F$58:$AJ$58))</f>
        <v>0</v>
      </c>
      <c r="H8" s="173">
        <f>IF($B8&gt;Inputs!$G$19,"",SUM(D8:G8))</f>
        <v>714066.67333824222</v>
      </c>
      <c r="I8" s="173">
        <f>IF($B8&gt;Inputs!$G$19,"",LOOKUP($B8,'Cash Flow'!$F$2:$AJ$2,'Cash Flow'!$F$70:$AJ$70))</f>
        <v>-3436709.8207053179</v>
      </c>
      <c r="J8" s="173">
        <f>IF($B8&gt;Inputs!$G$19,"",LOOKUP($B8,'Cash Flow'!$F$2:$AJ$2,'Cash Flow'!$F$71:$AJ$71))</f>
        <v>-3436709.8207053179</v>
      </c>
      <c r="K8" s="173">
        <f>IF($B8&gt;Inputs!$G$19,"",LOOKUP($B8,'Cash Flow'!$F$2:$AJ$2,'Cash Flow'!$F$73:$AJ$73)+LOOKUP($B8,'Cash Flow'!$F$2:$AJ$2,'Cash Flow'!$F$75:$AJ$75))</f>
        <v>1100606.320080878</v>
      </c>
      <c r="L8" s="173">
        <f>IF($B8&gt;Inputs!$G$19,"",LOOKUP($B8,'Cash Flow'!$F$2:$AJ$2,'Cash Flow'!$F$74:$AJ$74)+LOOKUP($B8,'Cash Flow'!$F$2:$AJ$2,'Cash Flow'!$F$76:$AJ$76))</f>
        <v>292120.33475995203</v>
      </c>
      <c r="M8" s="173">
        <f>IF($B8&gt;Inputs!$G$19,"",H8+K8+L8)</f>
        <v>2106793.3281790721</v>
      </c>
      <c r="N8" s="173">
        <f>IF($B8&gt;Inputs!$G$19,N7,N7+M8)</f>
        <v>-1948431.3394927946</v>
      </c>
      <c r="O8" s="177">
        <f>IF($B8&gt;Inputs!$G$19,"",LOOKUP($B8,'Cash Flow'!$F$2:$AJ$2,'Cash Flow'!$F$78:$AJ$78))</f>
        <v>-0.15122117254424394</v>
      </c>
      <c r="P8" s="178">
        <f>IF($B8&gt;Inputs!$G$19,"",LOOKUP($B8,'Cash Flow'!$F$2:$AJ$2,'Cash Flow'!$F$51:$AJ$51))</f>
        <v>1.8605508095186603</v>
      </c>
      <c r="R8" s="392">
        <f>IF($B8&gt;Inputs!$G$19,"",D8+K8+L8)</f>
        <v>4742924.7690652404</v>
      </c>
      <c r="S8" s="393">
        <f>IF($B8&gt;Inputs!$G$19,"",-(E8+F8+G8))</f>
        <v>2636131.4408861687</v>
      </c>
    </row>
    <row r="9" spans="2:19">
      <c r="B9" s="175">
        <v>3</v>
      </c>
      <c r="C9" s="176">
        <f>IF($B9&gt;Inputs!$G$19,"",IF($B9&lt;=Inputs!$Q$13,LOOKUP($B9,'Cash Flow'!$F$2:$AJ$2,'Cash Flow'!$F$21:$AJ$21),LOOKUP($B9,'Cash Flow'!$F$2:$AJ$2,'Cash Flow'!$F$23:$AJ$23)))</f>
        <v>12.849999999999998</v>
      </c>
      <c r="D9" s="173">
        <f>IF($B9&gt;Inputs!$G$19,"",LOOKUP($B9,'Cash Flow'!$F$2:$AJ$2,'Cash Flow'!$F$31:$AJ$31))</f>
        <v>3350198.1142244115</v>
      </c>
      <c r="E9" s="173">
        <f>IF($B9&gt;Inputs!$G$19,"",LOOKUP($B9,'Cash Flow'!$F$2:$AJ$2,'Cash Flow'!$F$45:$AJ$45))</f>
        <v>-1858434.5399412746</v>
      </c>
      <c r="F9" s="173">
        <f>IF($B9&gt;Inputs!$G$19,"",LOOKUP($B9,'Cash Flow'!$F$2:$AJ$2,'Cash Flow'!$F$95:$AJ$95))</f>
        <v>-829778.63182494417</v>
      </c>
      <c r="G9" s="173">
        <f>IF($B9&gt;Inputs!$G$19,"",LOOKUP($B9,'Cash Flow'!$F$2:$AJ$2,'Cash Flow'!$F$57:$AJ$57)+LOOKUP($B9,'Cash Flow'!$F$2:$AJ$2,'Cash Flow'!$F$58:$AJ$58))</f>
        <v>0</v>
      </c>
      <c r="H9" s="173">
        <f>IF($B9&gt;Inputs!$G$19,"",SUM(D9:G9))</f>
        <v>661984.94245819282</v>
      </c>
      <c r="I9" s="173">
        <f>IF($B9&gt;Inputs!$G$19,"",LOOKUP($B9,'Cash Flow'!$F$2:$AJ$2,'Cash Flow'!$F$70:$AJ$70))</f>
        <v>-1668156.6691729287</v>
      </c>
      <c r="J9" s="173">
        <f>IF($B9&gt;Inputs!$G$19,"",LOOKUP($B9,'Cash Flow'!$F$2:$AJ$2,'Cash Flow'!$F$71:$AJ$71))</f>
        <v>-1668156.6691729287</v>
      </c>
      <c r="K9" s="173">
        <f>IF($B9&gt;Inputs!$G$19,"",LOOKUP($B9,'Cash Flow'!$F$2:$AJ$2,'Cash Flow'!$F$73:$AJ$73)+LOOKUP($B9,'Cash Flow'!$F$2:$AJ$2,'Cash Flow'!$F$75:$AJ$75))</f>
        <v>534227.17330263031</v>
      </c>
      <c r="L9" s="173">
        <f>IF($B9&gt;Inputs!$G$19,"",LOOKUP($B9,'Cash Flow'!$F$2:$AJ$2,'Cash Flow'!$F$74:$AJ$74)+LOOKUP($B9,'Cash Flow'!$F$2:$AJ$2,'Cash Flow'!$F$76:$AJ$76))</f>
        <v>141793.31687969895</v>
      </c>
      <c r="M9" s="173">
        <f>IF($B9&gt;Inputs!$G$19,"",H9+K9+L9)</f>
        <v>1338005.4326405223</v>
      </c>
      <c r="N9" s="173">
        <f>IF($B9&gt;Inputs!$G$19,N8,N8+M9)</f>
        <v>-610425.90685227234</v>
      </c>
      <c r="O9" s="177">
        <f>IF($B9&gt;Inputs!$G$19,"",LOOKUP($B9,'Cash Flow'!$F$2:$AJ$2,'Cash Flow'!$F$78:$AJ$78))</f>
        <v>-3.9536563449717677E-2</v>
      </c>
      <c r="P9" s="178">
        <f>IF($B9&gt;Inputs!$G$19,"",LOOKUP($B9,'Cash Flow'!$F$2:$AJ$2,'Cash Flow'!$F$51:$AJ$51))</f>
        <v>1.7977849959841454</v>
      </c>
      <c r="R9" s="392">
        <f>IF($B9&gt;Inputs!$G$19,"",D9+K9+L9)</f>
        <v>4026218.604406741</v>
      </c>
      <c r="S9" s="393">
        <f>IF($B9&gt;Inputs!$G$19,"",-(E9+F9+G9))</f>
        <v>2688213.1717662187</v>
      </c>
    </row>
    <row r="10" spans="2:19">
      <c r="B10" s="175">
        <v>4</v>
      </c>
      <c r="C10" s="176">
        <f>IF($B10&gt;Inputs!$G$19,"",IF($B10&lt;=Inputs!$Q$13,LOOKUP($B10,'Cash Flow'!$F$2:$AJ$2,'Cash Flow'!$F$21:$AJ$21),LOOKUP($B10,'Cash Flow'!$F$2:$AJ$2,'Cash Flow'!$F$23:$AJ$23)))</f>
        <v>12.849999999999998</v>
      </c>
      <c r="D10" s="173">
        <f>IF($B10&gt;Inputs!$G$19,"",LOOKUP($B10,'Cash Flow'!$F$2:$AJ$2,'Cash Flow'!$F$31:$AJ$31))</f>
        <v>3350198.1142244102</v>
      </c>
      <c r="E10" s="173">
        <f>IF($B10&gt;Inputs!$G$19,"",LOOKUP($B10,'Cash Flow'!$F$2:$AJ$2,'Cash Flow'!$F$45:$AJ$45))</f>
        <v>-1912209.1166511222</v>
      </c>
      <c r="F10" s="173">
        <f>IF($B10&gt;Inputs!$G$19,"",LOOKUP($B10,'Cash Flow'!$F$2:$AJ$2,'Cash Flow'!$F$95:$AJ$95))</f>
        <v>-829778.63182494417</v>
      </c>
      <c r="G10" s="173">
        <f>IF($B10&gt;Inputs!$G$19,"",LOOKUP($B10,'Cash Flow'!$F$2:$AJ$2,'Cash Flow'!$F$57:$AJ$57)+LOOKUP($B10,'Cash Flow'!$F$2:$AJ$2,'Cash Flow'!$F$58:$AJ$58))</f>
        <v>0</v>
      </c>
      <c r="H10" s="173">
        <f>IF($B10&gt;Inputs!$G$19,"",SUM(D10:G10))</f>
        <v>608210.36574834376</v>
      </c>
      <c r="I10" s="173">
        <f>IF($B10&gt;Inputs!$G$19,"",LOOKUP($B10,'Cash Flow'!$F$2:$AJ$2,'Cash Flow'!$F$70:$AJ$70))</f>
        <v>-616543.08517368103</v>
      </c>
      <c r="J10" s="173">
        <f>IF($B10&gt;Inputs!$G$19,"",LOOKUP($B10,'Cash Flow'!$F$2:$AJ$2,'Cash Flow'!$F$71:$AJ$71))</f>
        <v>-616543.08517368103</v>
      </c>
      <c r="K10" s="173">
        <f>IF($B10&gt;Inputs!$G$19,"",LOOKUP($B10,'Cash Flow'!$F$2:$AJ$2,'Cash Flow'!$F$73:$AJ$73)+LOOKUP($B10,'Cash Flow'!$F$2:$AJ$2,'Cash Flow'!$F$75:$AJ$75))</f>
        <v>197447.92302687134</v>
      </c>
      <c r="L10" s="173">
        <f>IF($B10&gt;Inputs!$G$19,"",LOOKUP($B10,'Cash Flow'!$F$2:$AJ$2,'Cash Flow'!$F$74:$AJ$74)+LOOKUP($B10,'Cash Flow'!$F$2:$AJ$2,'Cash Flow'!$F$76:$AJ$76))</f>
        <v>52406.162239762889</v>
      </c>
      <c r="M10" s="173">
        <f>IF($B10&gt;Inputs!$G$19,"",H10+K10+L10)</f>
        <v>858064.451014978</v>
      </c>
      <c r="N10" s="173">
        <f>IF($B10&gt;Inputs!$G$19,N9,N9+M10)</f>
        <v>247638.54416270566</v>
      </c>
      <c r="O10" s="177">
        <f>IF($B10&gt;Inputs!$G$19,"",LOOKUP($B10,'Cash Flow'!$F$2:$AJ$2,'Cash Flow'!$F$78:$AJ$78))</f>
        <v>1.4067104990236112E-2</v>
      </c>
      <c r="P10" s="178">
        <f>IF($B10&gt;Inputs!$G$19,"",LOOKUP($B10,'Cash Flow'!$F$2:$AJ$2,'Cash Flow'!$F$51:$AJ$51))</f>
        <v>1.7329790650437671</v>
      </c>
      <c r="R10" s="392">
        <f>IF($B10&gt;Inputs!$G$19,"",D10+K10+L10)</f>
        <v>3600052.1994910445</v>
      </c>
      <c r="S10" s="393">
        <f>IF($B10&gt;Inputs!$G$19,"",-(E10+F10+G10))</f>
        <v>2741987.7484760666</v>
      </c>
    </row>
    <row r="11" spans="2:19">
      <c r="B11" s="181">
        <v>5</v>
      </c>
      <c r="C11" s="176">
        <f>IF($B11&gt;Inputs!$G$19,"",IF($B11&lt;=Inputs!$Q$13,LOOKUP($B11,'Cash Flow'!$F$2:$AJ$2,'Cash Flow'!$F$21:$AJ$21),LOOKUP($B11,'Cash Flow'!$F$2:$AJ$2,'Cash Flow'!$F$23:$AJ$23)))</f>
        <v>12.849999999999998</v>
      </c>
      <c r="D11" s="173">
        <f>IF($B11&gt;Inputs!$G$19,"",LOOKUP($B11,'Cash Flow'!$F$2:$AJ$2,'Cash Flow'!$F$31:$AJ$31))</f>
        <v>3350198.1142244115</v>
      </c>
      <c r="E11" s="173">
        <f>IF($B11&gt;Inputs!$G$19,"",LOOKUP($B11,'Cash Flow'!$F$2:$AJ$2,'Cash Flow'!$F$45:$AJ$45))</f>
        <v>-1873462.3733966774</v>
      </c>
      <c r="F11" s="173">
        <f>IF($B11&gt;Inputs!$G$19,"",LOOKUP($B11,'Cash Flow'!$F$2:$AJ$2,'Cash Flow'!$F$95:$AJ$95))</f>
        <v>-829778.63182494417</v>
      </c>
      <c r="G11" s="173">
        <f>IF($B11&gt;Inputs!$G$19,"",LOOKUP($B11,'Cash Flow'!$F$2:$AJ$2,'Cash Flow'!$F$57:$AJ$57)+LOOKUP($B11,'Cash Flow'!$F$2:$AJ$2,'Cash Flow'!$F$58:$AJ$58))</f>
        <v>0</v>
      </c>
      <c r="H11" s="173">
        <f>IF($B11&gt;Inputs!$G$19,"",SUM(D11:G11))</f>
        <v>646957.10900278995</v>
      </c>
      <c r="I11" s="173">
        <f>IF($B11&gt;Inputs!$G$19,"",LOOKUP($B11,'Cash Flow'!$F$2:$AJ$2,'Cash Flow'!$F$70:$AJ$70))</f>
        <v>-545857.96277731424</v>
      </c>
      <c r="J11" s="173">
        <f>IF($B11&gt;Inputs!$G$19,"",LOOKUP($B11,'Cash Flow'!$F$2:$AJ$2,'Cash Flow'!$F$71:$AJ$71))</f>
        <v>-545857.96277731424</v>
      </c>
      <c r="K11" s="173">
        <f>IF($B11&gt;Inputs!$G$19,"",LOOKUP($B11,'Cash Flow'!$F$2:$AJ$2,'Cash Flow'!$F$73:$AJ$73)+LOOKUP($B11,'Cash Flow'!$F$2:$AJ$2,'Cash Flow'!$F$75:$AJ$75))</f>
        <v>174811.01257943487</v>
      </c>
      <c r="L11" s="173">
        <f>IF($B11&gt;Inputs!$G$19,"",LOOKUP($B11,'Cash Flow'!$F$2:$AJ$2,'Cash Flow'!$F$74:$AJ$74)+LOOKUP($B11,'Cash Flow'!$F$2:$AJ$2,'Cash Flow'!$F$76:$AJ$76))</f>
        <v>46397.926836071711</v>
      </c>
      <c r="M11" s="173">
        <f>IF($B11&gt;Inputs!$G$19,"",H11+K11+L11)</f>
        <v>868166.0484182965</v>
      </c>
      <c r="N11" s="173">
        <f>IF($B11&gt;Inputs!$G$19,N10,N10+M11)</f>
        <v>1115804.592581002</v>
      </c>
      <c r="O11" s="177">
        <f>IF($B11&gt;Inputs!$G$19,"",LOOKUP($B11,'Cash Flow'!$F$2:$AJ$2,'Cash Flow'!$F$78:$AJ$78))</f>
        <v>5.516937802484323E-2</v>
      </c>
      <c r="P11" s="178">
        <f>IF($B11&gt;Inputs!$G$19,"",LOOKUP($B11,'Cash Flow'!$F$2:$AJ$2,'Cash Flow'!$F$51:$AJ$51))</f>
        <v>1.7796743422759969</v>
      </c>
      <c r="R11" s="392">
        <f>IF($B11&gt;Inputs!$G$19,"",D11+K11+L11)</f>
        <v>3571407.0536399181</v>
      </c>
      <c r="S11" s="393">
        <f>IF($B11&gt;Inputs!$G$19,"",-(E11+F11+G11))</f>
        <v>2703241.0052216216</v>
      </c>
    </row>
    <row r="12" spans="2:19">
      <c r="B12" s="175">
        <v>6</v>
      </c>
      <c r="C12" s="176">
        <f>IF($B12&gt;Inputs!$G$19,"",IF($B12&lt;=Inputs!$Q$13,LOOKUP($B12,'Cash Flow'!$F$2:$AJ$2,'Cash Flow'!$F$21:$AJ$21),LOOKUP($B12,'Cash Flow'!$F$2:$AJ$2,'Cash Flow'!$F$23:$AJ$23)))</f>
        <v>12.849999999999998</v>
      </c>
      <c r="D12" s="173">
        <f>IF($B12&gt;Inputs!$G$19,"",LOOKUP($B12,'Cash Flow'!$F$2:$AJ$2,'Cash Flow'!$F$31:$AJ$31))</f>
        <v>3350198.1142244111</v>
      </c>
      <c r="E12" s="173">
        <f>IF($B12&gt;Inputs!$G$19,"",LOOKUP($B12,'Cash Flow'!$F$2:$AJ$2,'Cash Flow'!$F$45:$AJ$45))</f>
        <v>-1926958.3033338387</v>
      </c>
      <c r="F12" s="173">
        <f>IF($B12&gt;Inputs!$G$19,"",LOOKUP($B12,'Cash Flow'!$F$2:$AJ$2,'Cash Flow'!$F$95:$AJ$95))</f>
        <v>-829778.6318249444</v>
      </c>
      <c r="G12" s="173">
        <f>IF($B12&gt;Inputs!$G$19,"",LOOKUP($B12,'Cash Flow'!$F$2:$AJ$2,'Cash Flow'!$F$57:$AJ$57)+LOOKUP($B12,'Cash Flow'!$F$2:$AJ$2,'Cash Flow'!$F$58:$AJ$58))</f>
        <v>0</v>
      </c>
      <c r="H12" s="173">
        <f>IF($B12&gt;Inputs!$G$19,"",SUM(D12:G12))</f>
        <v>593461.17906562798</v>
      </c>
      <c r="I12" s="173">
        <f>IF($B12&gt;Inputs!$G$19,"",LOOKUP($B12,'Cash Flow'!$F$2:$AJ$2,'Cash Flow'!$F$70:$AJ$70))</f>
        <v>240803.25592376653</v>
      </c>
      <c r="J12" s="173">
        <f>IF($B12&gt;Inputs!$G$19,"",LOOKUP($B12,'Cash Flow'!$F$2:$AJ$2,'Cash Flow'!$F$71:$AJ$71))</f>
        <v>240803.25592376653</v>
      </c>
      <c r="K12" s="173">
        <f>IF($B12&gt;Inputs!$G$19,"",LOOKUP($B12,'Cash Flow'!$F$2:$AJ$2,'Cash Flow'!$F$73:$AJ$73)+LOOKUP($B12,'Cash Flow'!$F$2:$AJ$2,'Cash Flow'!$F$75:$AJ$75))</f>
        <v>-77117.242709586222</v>
      </c>
      <c r="L12" s="173">
        <f>IF($B12&gt;Inputs!$G$19,"",LOOKUP($B12,'Cash Flow'!$F$2:$AJ$2,'Cash Flow'!$F$74:$AJ$74)+LOOKUP($B12,'Cash Flow'!$F$2:$AJ$2,'Cash Flow'!$F$76:$AJ$76))</f>
        <v>-20468.276753520156</v>
      </c>
      <c r="M12" s="173">
        <f>IF($B12&gt;Inputs!$G$19,"",H12+K12+L12)</f>
        <v>495875.65960252157</v>
      </c>
      <c r="N12" s="173">
        <f>IF($B12&gt;Inputs!$G$19,N11,N11+M12)</f>
        <v>1611680.2521835235</v>
      </c>
      <c r="O12" s="177">
        <f>IF($B12&gt;Inputs!$G$19,"",LOOKUP($B12,'Cash Flow'!$F$2:$AJ$2,'Cash Flow'!$F$78:$AJ$78))</f>
        <v>7.3448675354219617E-2</v>
      </c>
      <c r="P12" s="178">
        <f>IF($B12&gt;Inputs!$G$19,"",LOOKUP($B12,'Cash Flow'!$F$2:$AJ$2,'Cash Flow'!$F$51:$AJ$51))</f>
        <v>1.7152042199019033</v>
      </c>
      <c r="R12" s="392">
        <f>IF($B12&gt;Inputs!$G$19,"",D12+K12+L12)</f>
        <v>3252612.5947613046</v>
      </c>
      <c r="S12" s="393">
        <f>IF($B12&gt;Inputs!$G$19,"",-(E12+F12+G12))</f>
        <v>2756736.9351587831</v>
      </c>
    </row>
    <row r="13" spans="2:19">
      <c r="B13" s="175">
        <v>7</v>
      </c>
      <c r="C13" s="176">
        <f>IF($B13&gt;Inputs!$G$19,"",IF($B13&lt;=Inputs!$Q$13,LOOKUP($B13,'Cash Flow'!$F$2:$AJ$2,'Cash Flow'!$F$21:$AJ$21),LOOKUP($B13,'Cash Flow'!$F$2:$AJ$2,'Cash Flow'!$F$23:$AJ$23)))</f>
        <v>12.849999999999998</v>
      </c>
      <c r="D13" s="173">
        <f>IF($B13&gt;Inputs!$G$19,"",LOOKUP($B13,'Cash Flow'!$F$2:$AJ$2,'Cash Flow'!$F$31:$AJ$31))</f>
        <v>3350198.1142244115</v>
      </c>
      <c r="E13" s="173">
        <f>IF($B13&gt;Inputs!$G$19,"",LOOKUP($B13,'Cash Flow'!$F$2:$AJ$2,'Cash Flow'!$F$45:$AJ$45))</f>
        <v>-1982178.3021746103</v>
      </c>
      <c r="F13" s="173">
        <f>IF($B13&gt;Inputs!$G$19,"",LOOKUP($B13,'Cash Flow'!$F$2:$AJ$2,'Cash Flow'!$F$95:$AJ$95))</f>
        <v>-829778.63182494428</v>
      </c>
      <c r="G13" s="173">
        <f>IF($B13&gt;Inputs!$G$19,"",LOOKUP($B13,'Cash Flow'!$F$2:$AJ$2,'Cash Flow'!$F$57:$AJ$57)+LOOKUP($B13,'Cash Flow'!$F$2:$AJ$2,'Cash Flow'!$F$58:$AJ$58))</f>
        <v>0</v>
      </c>
      <c r="H13" s="173">
        <f>IF($B13&gt;Inputs!$G$19,"",SUM(D13:G13))</f>
        <v>538241.18022485694</v>
      </c>
      <c r="I13" s="173">
        <f>IF($B13&gt;Inputs!$G$19,"",LOOKUP($B13,'Cash Flow'!$F$2:$AJ$2,'Cash Flow'!$F$70:$AJ$70))</f>
        <v>1027079.2695726902</v>
      </c>
      <c r="J13" s="173">
        <f>IF($B13&gt;Inputs!$G$19,"",LOOKUP($B13,'Cash Flow'!$F$2:$AJ$2,'Cash Flow'!$F$71:$AJ$71))</f>
        <v>1027079.2695726902</v>
      </c>
      <c r="K13" s="173">
        <f>IF($B13&gt;Inputs!$G$19,"",LOOKUP($B13,'Cash Flow'!$F$2:$AJ$2,'Cash Flow'!$F$73:$AJ$73)+LOOKUP($B13,'Cash Flow'!$F$2:$AJ$2,'Cash Flow'!$F$75:$AJ$75))</f>
        <v>-328922.13608065405</v>
      </c>
      <c r="L13" s="173">
        <f>IF($B13&gt;Inputs!$G$19,"",LOOKUP($B13,'Cash Flow'!$F$2:$AJ$2,'Cash Flow'!$F$74:$AJ$74)+LOOKUP($B13,'Cash Flow'!$F$2:$AJ$2,'Cash Flow'!$F$76:$AJ$76))</f>
        <v>-87301.737913678677</v>
      </c>
      <c r="M13" s="173">
        <f>IF($B13&gt;Inputs!$G$19,"",H13+K13+L13)</f>
        <v>122017.30623052422</v>
      </c>
      <c r="N13" s="173">
        <f>IF($B13&gt;Inputs!$G$19,N12,N12+M13)</f>
        <v>1733697.5584140478</v>
      </c>
      <c r="O13" s="177">
        <f>IF($B13&gt;Inputs!$G$19,"",LOOKUP($B13,'Cash Flow'!$F$2:$AJ$2,'Cash Flow'!$F$78:$AJ$78))</f>
        <v>7.7290328450246415E-2</v>
      </c>
      <c r="P13" s="178">
        <f>IF($B13&gt;Inputs!$G$19,"",LOOKUP($B13,'Cash Flow'!$F$2:$AJ$2,'Cash Flow'!$F$51:$AJ$51))</f>
        <v>1.6486563519249648</v>
      </c>
      <c r="R13" s="392">
        <f>IF($B13&gt;Inputs!$G$19,"",D13+K13+L13)</f>
        <v>2933974.2402300788</v>
      </c>
      <c r="S13" s="393">
        <f>IF($B13&gt;Inputs!$G$19,"",-(E13+F13+G13))</f>
        <v>2811956.9339995547</v>
      </c>
    </row>
    <row r="14" spans="2:19">
      <c r="B14" s="181">
        <v>8</v>
      </c>
      <c r="C14" s="176">
        <f>IF($B14&gt;Inputs!$G$19,"",IF($B14&lt;=Inputs!$Q$13,LOOKUP($B14,'Cash Flow'!$F$2:$AJ$2,'Cash Flow'!$F$21:$AJ$21),LOOKUP($B14,'Cash Flow'!$F$2:$AJ$2,'Cash Flow'!$F$23:$AJ$23)))</f>
        <v>12.849999999999998</v>
      </c>
      <c r="D14" s="173">
        <f>IF($B14&gt;Inputs!$G$19,"",LOOKUP($B14,'Cash Flow'!$F$2:$AJ$2,'Cash Flow'!$F$31:$AJ$31))</f>
        <v>3350198.1142244111</v>
      </c>
      <c r="E14" s="173">
        <f>IF($B14&gt;Inputs!$G$19,"",LOOKUP($B14,'Cash Flow'!$F$2:$AJ$2,'Cash Flow'!$F$45:$AJ$45))</f>
        <v>-2039183.5513095069</v>
      </c>
      <c r="F14" s="173">
        <f>IF($B14&gt;Inputs!$G$19,"",LOOKUP($B14,'Cash Flow'!$F$2:$AJ$2,'Cash Flow'!$F$95:$AJ$95))</f>
        <v>-829778.6318249444</v>
      </c>
      <c r="G14" s="173">
        <f>IF($B14&gt;Inputs!$G$19,"",LOOKUP($B14,'Cash Flow'!$F$2:$AJ$2,'Cash Flow'!$F$57:$AJ$57)+LOOKUP($B14,'Cash Flow'!$F$2:$AJ$2,'Cash Flow'!$F$58:$AJ$58))</f>
        <v>0</v>
      </c>
      <c r="H14" s="173">
        <f>IF($B14&gt;Inputs!$G$19,"",SUM(D14:G14))</f>
        <v>481235.93108995981</v>
      </c>
      <c r="I14" s="173">
        <f>IF($B14&gt;Inputs!$G$19,"",LOOKUP($B14,'Cash Flow'!$F$2:$AJ$2,'Cash Flow'!$F$70:$AJ$70))</f>
        <v>1006791.2110506165</v>
      </c>
      <c r="J14" s="173">
        <f>IF($B14&gt;Inputs!$G$19,"",LOOKUP($B14,'Cash Flow'!$F$2:$AJ$2,'Cash Flow'!$F$71:$AJ$71))</f>
        <v>1006791.2110506165</v>
      </c>
      <c r="K14" s="173">
        <f>IF($B14&gt;Inputs!$G$19,"",LOOKUP($B14,'Cash Flow'!$F$2:$AJ$2,'Cash Flow'!$F$73:$AJ$73)+LOOKUP($B14,'Cash Flow'!$F$2:$AJ$2,'Cash Flow'!$F$75:$AJ$75))</f>
        <v>-322424.88533895992</v>
      </c>
      <c r="L14" s="173">
        <f>IF($B14&gt;Inputs!$G$19,"",LOOKUP($B14,'Cash Flow'!$F$2:$AJ$2,'Cash Flow'!$F$74:$AJ$74)+LOOKUP($B14,'Cash Flow'!$F$2:$AJ$2,'Cash Flow'!$F$76:$AJ$76))</f>
        <v>-85577.252939302402</v>
      </c>
      <c r="M14" s="173">
        <f>IF($B14&gt;Inputs!$G$19,"",H14+K14+L14)</f>
        <v>73233.79281169748</v>
      </c>
      <c r="N14" s="173">
        <f>IF($B14&gt;Inputs!$G$19,N13,N13+M14)</f>
        <v>1806931.3512257454</v>
      </c>
      <c r="O14" s="177">
        <f>IF($B14&gt;Inputs!$G$19,"",LOOKUP($B14,'Cash Flow'!$F$2:$AJ$2,'Cash Flow'!$F$78:$AJ$78))</f>
        <v>7.9368820489280623E-2</v>
      </c>
      <c r="P14" s="178">
        <f>IF($B14&gt;Inputs!$G$19,"",LOOKUP($B14,'Cash Flow'!$F$2:$AJ$2,'Cash Flow'!$F$51:$AJ$51))</f>
        <v>1.5799570061614754</v>
      </c>
      <c r="R14" s="392">
        <f>IF($B14&gt;Inputs!$G$19,"",D14+K14+L14)</f>
        <v>2942195.9759461489</v>
      </c>
      <c r="S14" s="393">
        <f>IF($B14&gt;Inputs!$G$19,"",-(E14+F14+G14))</f>
        <v>2868962.1831344515</v>
      </c>
    </row>
    <row r="15" spans="2:19">
      <c r="B15" s="175">
        <v>9</v>
      </c>
      <c r="C15" s="176">
        <f>IF($B15&gt;Inputs!$G$19,"",IF($B15&lt;=Inputs!$Q$13,LOOKUP($B15,'Cash Flow'!$F$2:$AJ$2,'Cash Flow'!$F$21:$AJ$21),LOOKUP($B15,'Cash Flow'!$F$2:$AJ$2,'Cash Flow'!$F$23:$AJ$23)))</f>
        <v>12.849999999999998</v>
      </c>
      <c r="D15" s="173">
        <f>IF($B15&gt;Inputs!$G$19,"",LOOKUP($B15,'Cash Flow'!$F$2:$AJ$2,'Cash Flow'!$F$31:$AJ$31))</f>
        <v>3350198.1142244102</v>
      </c>
      <c r="E15" s="173">
        <f>IF($B15&gt;Inputs!$G$19,"",LOOKUP($B15,'Cash Flow'!$F$2:$AJ$2,'Cash Flow'!$F$45:$AJ$45))</f>
        <v>-2098037.5455532814</v>
      </c>
      <c r="F15" s="173">
        <f>IF($B15&gt;Inputs!$G$19,"",LOOKUP($B15,'Cash Flow'!$F$2:$AJ$2,'Cash Flow'!$F$95:$AJ$95))</f>
        <v>-829778.63182494417</v>
      </c>
      <c r="G15" s="173">
        <f>IF($B15&gt;Inputs!$G$19,"",LOOKUP($B15,'Cash Flow'!$F$2:$AJ$2,'Cash Flow'!$F$57:$AJ$57)+LOOKUP($B15,'Cash Flow'!$F$2:$AJ$2,'Cash Flow'!$F$58:$AJ$58))</f>
        <v>0</v>
      </c>
      <c r="H15" s="173">
        <f>IF($B15&gt;Inputs!$G$19,"",SUM(D15:G15))</f>
        <v>422381.93684618454</v>
      </c>
      <c r="I15" s="173">
        <f>IF($B15&gt;Inputs!$G$19,"",LOOKUP($B15,'Cash Flow'!$F$2:$AJ$2,'Cash Flow'!$F$70:$AJ$70))</f>
        <v>986708.39262948697</v>
      </c>
      <c r="J15" s="173">
        <f>IF($B15&gt;Inputs!$G$19,"",LOOKUP($B15,'Cash Flow'!$F$2:$AJ$2,'Cash Flow'!$F$71:$AJ$71))</f>
        <v>986708.39262948697</v>
      </c>
      <c r="K15" s="173">
        <f>IF($B15&gt;Inputs!$G$19,"",LOOKUP($B15,'Cash Flow'!$F$2:$AJ$2,'Cash Flow'!$F$73:$AJ$73)+LOOKUP($B15,'Cash Flow'!$F$2:$AJ$2,'Cash Flow'!$F$75:$AJ$75))</f>
        <v>-315993.36273959314</v>
      </c>
      <c r="L15" s="173">
        <f>IF($B15&gt;Inputs!$G$19,"",LOOKUP($B15,'Cash Flow'!$F$2:$AJ$2,'Cash Flow'!$F$74:$AJ$74)+LOOKUP($B15,'Cash Flow'!$F$2:$AJ$2,'Cash Flow'!$F$76:$AJ$76))</f>
        <v>-83870.213373506398</v>
      </c>
      <c r="M15" s="173">
        <f>IF($B15&gt;Inputs!$G$19,"",H15+K15+L15)</f>
        <v>22518.360733085006</v>
      </c>
      <c r="N15" s="173">
        <f>IF($B15&gt;Inputs!$G$19,N14,N14+M15)</f>
        <v>1829449.7119588305</v>
      </c>
      <c r="O15" s="177">
        <f>IF($B15&gt;Inputs!$G$19,"",LOOKUP($B15,'Cash Flow'!$F$2:$AJ$2,'Cash Flow'!$F$78:$AJ$78))</f>
        <v>7.9951996687817273E-2</v>
      </c>
      <c r="P15" s="178">
        <f>IF($B15&gt;Inputs!$G$19,"",LOOKUP($B15,'Cash Flow'!$F$2:$AJ$2,'Cash Flow'!$F$51:$AJ$51))</f>
        <v>1.5090296624260302</v>
      </c>
      <c r="R15" s="392">
        <f>IF($B15&gt;Inputs!$G$19,"",D15+K15+L15)</f>
        <v>2950334.5381113105</v>
      </c>
      <c r="S15" s="393">
        <f>IF($B15&gt;Inputs!$G$19,"",-(E15+F15+G15))</f>
        <v>2927816.1773782256</v>
      </c>
    </row>
    <row r="16" spans="2:19">
      <c r="B16" s="175">
        <v>10</v>
      </c>
      <c r="C16" s="176">
        <f>IF($B16&gt;Inputs!$G$19,"",IF($B16&lt;=Inputs!$Q$13,LOOKUP($B16,'Cash Flow'!$F$2:$AJ$2,'Cash Flow'!$F$21:$AJ$21),LOOKUP($B16,'Cash Flow'!$F$2:$AJ$2,'Cash Flow'!$F$23:$AJ$23)))</f>
        <v>12.849999999999998</v>
      </c>
      <c r="D16" s="173">
        <f>IF($B16&gt;Inputs!$G$19,"",LOOKUP($B16,'Cash Flow'!$F$2:$AJ$2,'Cash Flow'!$F$31:$AJ$31))</f>
        <v>3350198.1142244115</v>
      </c>
      <c r="E16" s="173">
        <f>IF($B16&gt;Inputs!$G$19,"",LOOKUP($B16,'Cash Flow'!$F$2:$AJ$2,'Cash Flow'!$F$45:$AJ$45))</f>
        <v>-2056217.707001002</v>
      </c>
      <c r="F16" s="173">
        <f>IF($B16&gt;Inputs!$G$19,"",LOOKUP($B16,'Cash Flow'!$F$2:$AJ$2,'Cash Flow'!$F$95:$AJ$95))</f>
        <v>-829778.63182494428</v>
      </c>
      <c r="G16" s="173">
        <f>IF($B16&gt;Inputs!$G$19,"",LOOKUP($B16,'Cash Flow'!$F$2:$AJ$2,'Cash Flow'!$F$57:$AJ$57)+LOOKUP($B16,'Cash Flow'!$F$2:$AJ$2,'Cash Flow'!$F$58:$AJ$58))</f>
        <v>0</v>
      </c>
      <c r="H16" s="173">
        <f>IF($B16&gt;Inputs!$G$19,"",SUM(D16:G16))</f>
        <v>464201.77539846522</v>
      </c>
      <c r="I16" s="173">
        <f>IF($B16&gt;Inputs!$G$19,"",LOOKUP($B16,'Cash Flow'!$F$2:$AJ$2,'Cash Flow'!$F$70:$AJ$70))</f>
        <v>1069965.5085983113</v>
      </c>
      <c r="J16" s="173">
        <f>IF($B16&gt;Inputs!$G$19,"",LOOKUP($B16,'Cash Flow'!$F$2:$AJ$2,'Cash Flow'!$F$71:$AJ$71))</f>
        <v>1069965.5085983113</v>
      </c>
      <c r="K16" s="173">
        <f>IF($B16&gt;Inputs!$G$19,"",LOOKUP($B16,'Cash Flow'!$F$2:$AJ$2,'Cash Flow'!$F$73:$AJ$73)+LOOKUP($B16,'Cash Flow'!$F$2:$AJ$2,'Cash Flow'!$F$75:$AJ$75))</f>
        <v>-342656.45412860921</v>
      </c>
      <c r="L16" s="173">
        <f>IF($B16&gt;Inputs!$G$19,"",LOOKUP($B16,'Cash Flow'!$F$2:$AJ$2,'Cash Flow'!$F$74:$AJ$74)+LOOKUP($B16,'Cash Flow'!$F$2:$AJ$2,'Cash Flow'!$F$76:$AJ$76))</f>
        <v>-90947.068230856472</v>
      </c>
      <c r="M16" s="173">
        <f>IF($B16&gt;Inputs!$G$19,"",H16+K16+L16)</f>
        <v>30598.253038999537</v>
      </c>
      <c r="N16" s="173">
        <f>IF($B16&gt;Inputs!$G$19,N15,N15+M16)</f>
        <v>1860047.9649978301</v>
      </c>
      <c r="O16" s="177">
        <f>IF($B16&gt;Inputs!$G$19,"",LOOKUP($B16,'Cash Flow'!$F$2:$AJ$2,'Cash Flow'!$F$78:$AJ$78))</f>
        <v>8.0679124498113763E-2</v>
      </c>
      <c r="P16" s="178">
        <f>IF($B16&gt;Inputs!$G$19,"",LOOKUP($B16,'Cash Flow'!$F$2:$AJ$2,'Cash Flow'!$F$51:$AJ$51))</f>
        <v>1.5594284518722052</v>
      </c>
      <c r="R16" s="392">
        <f>IF($B16&gt;Inputs!$G$19,"",D16+K16+L16)</f>
        <v>2916594.5918649458</v>
      </c>
      <c r="S16" s="393">
        <f>IF($B16&gt;Inputs!$G$19,"",-(E16+F16+G16))</f>
        <v>2885996.3388259462</v>
      </c>
    </row>
    <row r="17" spans="2:19">
      <c r="B17" s="181">
        <v>11</v>
      </c>
      <c r="C17" s="176">
        <f>IF($B17&gt;Inputs!$G$19,"",IF($B17&lt;=Inputs!$Q$13,LOOKUP($B17,'Cash Flow'!$F$2:$AJ$2,'Cash Flow'!$F$21:$AJ$21),LOOKUP($B17,'Cash Flow'!$F$2:$AJ$2,'Cash Flow'!$F$23:$AJ$23)))</f>
        <v>12.849999999999998</v>
      </c>
      <c r="D17" s="173">
        <f>IF($B17&gt;Inputs!$G$19,"",LOOKUP($B17,'Cash Flow'!$F$2:$AJ$2,'Cash Flow'!$F$31:$AJ$31))</f>
        <v>3350198.1142244115</v>
      </c>
      <c r="E17" s="173">
        <f>IF($B17&gt;Inputs!$G$19,"",LOOKUP($B17,'Cash Flow'!$F$2:$AJ$2,'Cash Flow'!$F$45:$AJ$45))</f>
        <v>-2114782.1022129836</v>
      </c>
      <c r="F17" s="173">
        <f>IF($B17&gt;Inputs!$G$19,"",LOOKUP($B17,'Cash Flow'!$F$2:$AJ$2,'Cash Flow'!$F$95:$AJ$95))</f>
        <v>-829778.63182494428</v>
      </c>
      <c r="G17" s="173">
        <f>IF($B17&gt;Inputs!$G$19,"",LOOKUP($B17,'Cash Flow'!$F$2:$AJ$2,'Cash Flow'!$F$57:$AJ$57)+LOOKUP($B17,'Cash Flow'!$F$2:$AJ$2,'Cash Flow'!$F$58:$AJ$58))</f>
        <v>0</v>
      </c>
      <c r="H17" s="173">
        <f>IF($B17&gt;Inputs!$G$19,"",SUM(D17:G17))</f>
        <v>405637.38018648361</v>
      </c>
      <c r="I17" s="173">
        <f>IF($B17&gt;Inputs!$G$19,"",LOOKUP($B17,'Cash Flow'!$F$2:$AJ$2,'Cash Flow'!$F$70:$AJ$70))</f>
        <v>1055689.6748958316</v>
      </c>
      <c r="J17" s="173">
        <f>IF($B17&gt;Inputs!$G$19,"",LOOKUP($B17,'Cash Flow'!$F$2:$AJ$2,'Cash Flow'!$F$71:$AJ$71))</f>
        <v>1055689.6748958316</v>
      </c>
      <c r="K17" s="173">
        <f>IF($B17&gt;Inputs!$G$19,"",LOOKUP($B17,'Cash Flow'!$F$2:$AJ$2,'Cash Flow'!$F$73:$AJ$73)+LOOKUP($B17,'Cash Flow'!$F$2:$AJ$2,'Cash Flow'!$F$75:$AJ$75))</f>
        <v>-338084.61838539003</v>
      </c>
      <c r="L17" s="173">
        <f>IF($B17&gt;Inputs!$G$19,"",LOOKUP($B17,'Cash Flow'!$F$2:$AJ$2,'Cash Flow'!$F$74:$AJ$74)+LOOKUP($B17,'Cash Flow'!$F$2:$AJ$2,'Cash Flow'!$F$76:$AJ$76))</f>
        <v>-89733.62236614569</v>
      </c>
      <c r="M17" s="173">
        <f>IF($B17&gt;Inputs!$G$19,"",H17+K17+L17)</f>
        <v>-22180.860565052106</v>
      </c>
      <c r="N17" s="173">
        <f>IF($B17&gt;Inputs!$G$19,N16,N16+M17)</f>
        <v>1837867.104432778</v>
      </c>
      <c r="O17" s="177">
        <f>IF($B17&gt;Inputs!$G$19,"",LOOKUP($B17,'Cash Flow'!$F$2:$AJ$2,'Cash Flow'!$F$78:$AJ$78))</f>
        <v>8.0192013076623381E-2</v>
      </c>
      <c r="P17" s="178">
        <f>IF($B17&gt;Inputs!$G$19,"",LOOKUP($B17,'Cash Flow'!$F$2:$AJ$2,'Cash Flow'!$F$51:$AJ$51))</f>
        <v>1.4888501157162355</v>
      </c>
      <c r="R17" s="392">
        <f>IF($B17&gt;Inputs!$G$19,"",D17+K17+L17)</f>
        <v>2922379.8734728759</v>
      </c>
      <c r="S17" s="393">
        <f>IF($B17&gt;Inputs!$G$19,"",-(E17+F17+G17))</f>
        <v>2944560.7340379278</v>
      </c>
    </row>
    <row r="18" spans="2:19">
      <c r="B18" s="175">
        <v>12</v>
      </c>
      <c r="C18" s="176">
        <f>IF($B18&gt;Inputs!$G$19,"",IF($B18&lt;=Inputs!$Q$13,LOOKUP($B18,'Cash Flow'!$F$2:$AJ$2,'Cash Flow'!$F$21:$AJ$21),LOOKUP($B18,'Cash Flow'!$F$2:$AJ$2,'Cash Flow'!$F$23:$AJ$23)))</f>
        <v>12.849999999999998</v>
      </c>
      <c r="D18" s="173">
        <f>IF($B18&gt;Inputs!$G$19,"",LOOKUP($B18,'Cash Flow'!$F$2:$AJ$2,'Cash Flow'!$F$31:$AJ$31))</f>
        <v>3350198.1142244115</v>
      </c>
      <c r="E18" s="173">
        <f>IF($B18&gt;Inputs!$G$19,"",LOOKUP($B18,'Cash Flow'!$F$2:$AJ$2,'Cash Flow'!$F$45:$AJ$45))</f>
        <v>-2175229.6237403057</v>
      </c>
      <c r="F18" s="173">
        <f>IF($B18&gt;Inputs!$G$19,"",LOOKUP($B18,'Cash Flow'!$F$2:$AJ$2,'Cash Flow'!$F$95:$AJ$95))</f>
        <v>-829778.63182494428</v>
      </c>
      <c r="G18" s="173">
        <f>IF($B18&gt;Inputs!$G$19,"",LOOKUP($B18,'Cash Flow'!$F$2:$AJ$2,'Cash Flow'!$F$57:$AJ$57)+LOOKUP($B18,'Cash Flow'!$F$2:$AJ$2,'Cash Flow'!$F$58:$AJ$58))</f>
        <v>0</v>
      </c>
      <c r="H18" s="173">
        <f>IF($B18&gt;Inputs!$G$19,"",SUM(D18:G18))</f>
        <v>345189.8586591616</v>
      </c>
      <c r="I18" s="173">
        <f>IF($B18&gt;Inputs!$G$19,"",LOOKUP($B18,'Cash Flow'!$F$2:$AJ$2,'Cash Flow'!$F$70:$AJ$70))</f>
        <v>1042680.2395098765</v>
      </c>
      <c r="J18" s="173">
        <f>IF($B18&gt;Inputs!$G$19,"",LOOKUP($B18,'Cash Flow'!$F$2:$AJ$2,'Cash Flow'!$F$71:$AJ$71))</f>
        <v>1042680.2395098765</v>
      </c>
      <c r="K18" s="173">
        <f>IF($B18&gt;Inputs!$G$19,"",LOOKUP($B18,'Cash Flow'!$F$2:$AJ$2,'Cash Flow'!$F$73:$AJ$73)+LOOKUP($B18,'Cash Flow'!$F$2:$AJ$2,'Cash Flow'!$F$75:$AJ$75))</f>
        <v>-333918.34670303791</v>
      </c>
      <c r="L18" s="173">
        <f>IF($B18&gt;Inputs!$G$19,"",LOOKUP($B18,'Cash Flow'!$F$2:$AJ$2,'Cash Flow'!$F$74:$AJ$74)+LOOKUP($B18,'Cash Flow'!$F$2:$AJ$2,'Cash Flow'!$F$76:$AJ$76))</f>
        <v>-88627.820358339508</v>
      </c>
      <c r="M18" s="173">
        <f>IF($B18&gt;Inputs!$G$19,"",H18+K18+L18)</f>
        <v>-77356.308402215815</v>
      </c>
      <c r="N18" s="173">
        <f>IF($B18&gt;Inputs!$G$19,N17,N17+M18)</f>
        <v>1760510.7960305621</v>
      </c>
      <c r="O18" s="177">
        <f>IF($B18&gt;Inputs!$G$19,"",LOOKUP($B18,'Cash Flow'!$F$2:$AJ$2,'Cash Flow'!$F$78:$AJ$78))</f>
        <v>7.858953070974084E-2</v>
      </c>
      <c r="P18" s="178">
        <f>IF($B18&gt;Inputs!$G$19,"",LOOKUP($B18,'Cash Flow'!$F$2:$AJ$2,'Cash Flow'!$F$51:$AJ$51))</f>
        <v>1.416002347397137</v>
      </c>
      <c r="R18" s="392">
        <f>IF($B18&gt;Inputs!$G$19,"",D18+K18+L18)</f>
        <v>2927651.9471630338</v>
      </c>
      <c r="S18" s="393">
        <f>IF($B18&gt;Inputs!$G$19,"",-(E18+F18+G18))</f>
        <v>3005008.2555652498</v>
      </c>
    </row>
    <row r="19" spans="2:19">
      <c r="B19" s="175">
        <v>13</v>
      </c>
      <c r="C19" s="176">
        <f>IF($B19&gt;Inputs!$G$19,"",IF($B19&lt;=Inputs!$Q$13,LOOKUP($B19,'Cash Flow'!$F$2:$AJ$2,'Cash Flow'!$F$21:$AJ$21),LOOKUP($B19,'Cash Flow'!$F$2:$AJ$2,'Cash Flow'!$F$23:$AJ$23)))</f>
        <v>12.849999999999998</v>
      </c>
      <c r="D19" s="173">
        <f>IF($B19&gt;Inputs!$G$19,"",LOOKUP($B19,'Cash Flow'!$F$2:$AJ$2,'Cash Flow'!$F$31:$AJ$31))</f>
        <v>3350198.1142244111</v>
      </c>
      <c r="E19" s="173">
        <f>IF($B19&gt;Inputs!$G$19,"",LOOKUP($B19,'Cash Flow'!$F$2:$AJ$2,'Cash Flow'!$F$45:$AJ$45))</f>
        <v>-2237626.9887382984</v>
      </c>
      <c r="F19" s="173">
        <f>IF($B19&gt;Inputs!$G$19,"",LOOKUP($B19,'Cash Flow'!$F$2:$AJ$2,'Cash Flow'!$F$95:$AJ$95))</f>
        <v>-829778.63182494417</v>
      </c>
      <c r="G19" s="173">
        <f>IF($B19&gt;Inputs!$G$19,"",LOOKUP($B19,'Cash Flow'!$F$2:$AJ$2,'Cash Flow'!$F$57:$AJ$57)+LOOKUP($B19,'Cash Flow'!$F$2:$AJ$2,'Cash Flow'!$F$58:$AJ$58))</f>
        <v>0</v>
      </c>
      <c r="H19" s="173">
        <f>IF($B19&gt;Inputs!$G$19,"",SUM(D19:G19))</f>
        <v>282792.4936611685</v>
      </c>
      <c r="I19" s="173">
        <f>IF($B19&gt;Inputs!$G$19,"",LOOKUP($B19,'Cash Flow'!$F$2:$AJ$2,'Cash Flow'!$F$70:$AJ$70))</f>
        <v>1030992.3013569459</v>
      </c>
      <c r="J19" s="173">
        <f>IF($B19&gt;Inputs!$G$19,"",LOOKUP($B19,'Cash Flow'!$F$2:$AJ$2,'Cash Flow'!$F$71:$AJ$71))</f>
        <v>1030992.3013569459</v>
      </c>
      <c r="K19" s="173">
        <f>IF($B19&gt;Inputs!$G$19,"",LOOKUP($B19,'Cash Flow'!$F$2:$AJ$2,'Cash Flow'!$F$73:$AJ$73)+LOOKUP($B19,'Cash Flow'!$F$2:$AJ$2,'Cash Flow'!$F$75:$AJ$75))</f>
        <v>-330175.2845095619</v>
      </c>
      <c r="L19" s="173">
        <f>IF($B19&gt;Inputs!$G$19,"",LOOKUP($B19,'Cash Flow'!$F$2:$AJ$2,'Cash Flow'!$F$74:$AJ$74)+LOOKUP($B19,'Cash Flow'!$F$2:$AJ$2,'Cash Flow'!$F$76:$AJ$76))</f>
        <v>-87634.345615340411</v>
      </c>
      <c r="M19" s="173">
        <f>IF($B19&gt;Inputs!$G$19,"",H19+K19+L19)</f>
        <v>-135017.1364637338</v>
      </c>
      <c r="N19" s="173">
        <f>IF($B19&gt;Inputs!$G$19,N18,N18+M19)</f>
        <v>1625493.6595668283</v>
      </c>
      <c r="O19" s="177">
        <f>IF($B19&gt;Inputs!$G$19,"",LOOKUP($B19,'Cash Flow'!$F$2:$AJ$2,'Cash Flow'!$F$78:$AJ$78))</f>
        <v>7.5883795890590688E-2</v>
      </c>
      <c r="P19" s="178">
        <f>IF($B19&gt;Inputs!$G$19,"",LOOKUP($B19,'Cash Flow'!$F$2:$AJ$2,'Cash Flow'!$F$51:$AJ$51))</f>
        <v>1.3408047433557295</v>
      </c>
      <c r="R19" s="392">
        <f>IF($B19&gt;Inputs!$G$19,"",D19+K19+L19)</f>
        <v>2932388.4840995087</v>
      </c>
      <c r="S19" s="393">
        <f>IF($B19&gt;Inputs!$G$19,"",-(E19+F19+G19))</f>
        <v>3067405.6205632426</v>
      </c>
    </row>
    <row r="20" spans="2:19" ht="15">
      <c r="B20" s="181">
        <v>14</v>
      </c>
      <c r="C20" s="176">
        <f>IF($B20&gt;Inputs!$G$19,"",IF($B20&lt;=Inputs!$Q$13,LOOKUP($B20,'Cash Flow'!$F$2:$AJ$2,'Cash Flow'!$F$21:$AJ$21),LOOKUP($B20,'Cash Flow'!$F$2:$AJ$2,'Cash Flow'!$F$23:$AJ$23)))</f>
        <v>12.849999999999998</v>
      </c>
      <c r="D20" s="173">
        <f>IF($B20&gt;Inputs!$G$19,"",LOOKUP($B20,'Cash Flow'!$F$2:$AJ$2,'Cash Flow'!$F$31:$AJ$31))</f>
        <v>3347086.4443550673</v>
      </c>
      <c r="E20" s="173">
        <f>IF($B20&gt;Inputs!$G$19,"",LOOKUP($B20,'Cash Flow'!$F$2:$AJ$2,'Cash Flow'!$F$45:$AJ$45))</f>
        <v>-2302043.4346086262</v>
      </c>
      <c r="F20" s="173">
        <f>IF($B20&gt;Inputs!$G$19,"",LOOKUP($B20,'Cash Flow'!$F$2:$AJ$2,'Cash Flow'!$F$95:$AJ$95))</f>
        <v>0</v>
      </c>
      <c r="G20" s="173">
        <f>IF($B20&gt;Inputs!$G$19,"",LOOKUP($B20,'Cash Flow'!$F$2:$AJ$2,'Cash Flow'!$F$57:$AJ$57)+LOOKUP($B20,'Cash Flow'!$F$2:$AJ$2,'Cash Flow'!$F$58:$AJ$58))</f>
        <v>414889.31591247208</v>
      </c>
      <c r="H20" s="173">
        <f>IF($B20&gt;Inputs!$G$19,"",SUM(D20:G20))</f>
        <v>1459932.3256589132</v>
      </c>
      <c r="I20" s="173">
        <f>IF($B20&gt;Inputs!$G$19,"",LOOKUP($B20,'Cash Flow'!$F$2:$AJ$2,'Cash Flow'!$F$70:$AJ$70))</f>
        <v>1017772.5976676912</v>
      </c>
      <c r="J20" s="173">
        <f>IF($B20&gt;Inputs!$G$19,"",LOOKUP($B20,'Cash Flow'!$F$2:$AJ$2,'Cash Flow'!$F$71:$AJ$71))</f>
        <v>1017772.5976676912</v>
      </c>
      <c r="K20" s="173">
        <f>IF($B20&gt;Inputs!$G$19,"",LOOKUP($B20,'Cash Flow'!$F$2:$AJ$2,'Cash Flow'!$F$73:$AJ$73)+LOOKUP($B20,'Cash Flow'!$F$2:$AJ$2,'Cash Flow'!$F$75:$AJ$75))</f>
        <v>-325941.6744030781</v>
      </c>
      <c r="L20" s="173">
        <f>IF($B20&gt;Inputs!$G$19,"",LOOKUP($B20,'Cash Flow'!$F$2:$AJ$2,'Cash Flow'!$F$74:$AJ$74)+LOOKUP($B20,'Cash Flow'!$F$2:$AJ$2,'Cash Flow'!$F$76:$AJ$76))</f>
        <v>-86510.67080175376</v>
      </c>
      <c r="M20" s="173">
        <f>IF($B20&gt;Inputs!$G$19,"",H20+K20+L20)</f>
        <v>1047479.9804540813</v>
      </c>
      <c r="N20" s="173">
        <f>IF($B20&gt;Inputs!$G$19,N19,N19+M20)</f>
        <v>2672973.6400209097</v>
      </c>
      <c r="O20" s="177">
        <f>IF($B20&gt;Inputs!$G$19,"",LOOKUP($B20,'Cash Flow'!$F$2:$AJ$2,'Cash Flow'!$F$78:$AJ$78))</f>
        <v>9.2529425809598109E-2</v>
      </c>
      <c r="P20" s="178" t="str">
        <f>IF($B20&gt;Inputs!$G$19,"",LOOKUP($B20,'Cash Flow'!$F$2:$AJ$2,'Cash Flow'!$F$51:$AJ$51))</f>
        <v>N/A</v>
      </c>
      <c r="R20" s="392">
        <f>IF($B20&gt;Inputs!$G$19,"",D20+K20+L20)</f>
        <v>2934634.0991502358</v>
      </c>
      <c r="S20" s="393">
        <f>IF($B20&gt;Inputs!$G$19,"",-(E20+F20+G20))</f>
        <v>1887154.1186961541</v>
      </c>
    </row>
    <row r="21" spans="2:19" ht="15">
      <c r="B21" s="175">
        <v>15</v>
      </c>
      <c r="C21" s="176">
        <f>IF($B21&gt;Inputs!$G$19,"",IF($B21&lt;=Inputs!$Q$13,LOOKUP($B21,'Cash Flow'!$F$2:$AJ$2,'Cash Flow'!$F$21:$AJ$21),LOOKUP($B21,'Cash Flow'!$F$2:$AJ$2,'Cash Flow'!$F$23:$AJ$23)))</f>
        <v>12.849999999999998</v>
      </c>
      <c r="D21" s="173">
        <f>IF($B21&gt;Inputs!$G$19,"",LOOKUP($B21,'Cash Flow'!$F$2:$AJ$2,'Cash Flow'!$F$31:$AJ$31))</f>
        <v>3343974.7744857245</v>
      </c>
      <c r="E21" s="173">
        <f>IF($B21&gt;Inputs!$G$19,"",LOOKUP($B21,'Cash Flow'!$F$2:$AJ$2,'Cash Flow'!$F$45:$AJ$45))</f>
        <v>-2256915.2841304662</v>
      </c>
      <c r="F21" s="173">
        <f>IF($B21&gt;Inputs!$G$19,"",LOOKUP($B21,'Cash Flow'!$F$2:$AJ$2,'Cash Flow'!$F$95:$AJ$95))</f>
        <v>0</v>
      </c>
      <c r="G21" s="173">
        <f>IF($B21&gt;Inputs!$G$19,"",LOOKUP($B21,'Cash Flow'!$F$2:$AJ$2,'Cash Flow'!$F$57:$AJ$57)+LOOKUP($B21,'Cash Flow'!$F$2:$AJ$2,'Cash Flow'!$F$58:$AJ$58))</f>
        <v>0</v>
      </c>
      <c r="H21" s="173">
        <f>IF($B21&gt;Inputs!$G$19,"",SUM(D21:G21))</f>
        <v>1087059.4903552583</v>
      </c>
      <c r="I21" s="173">
        <f>IF($B21&gt;Inputs!$G$19,"",LOOKUP($B21,'Cash Flow'!$F$2:$AJ$2,'Cash Flow'!$F$70:$AJ$70))</f>
        <v>1059765.2496165084</v>
      </c>
      <c r="J21" s="173">
        <f>IF($B21&gt;Inputs!$G$19,"",LOOKUP($B21,'Cash Flow'!$F$2:$AJ$2,'Cash Flow'!$F$71:$AJ$71))</f>
        <v>1059765.2496165084</v>
      </c>
      <c r="K21" s="173">
        <f>IF($B21&gt;Inputs!$G$19,"",LOOKUP($B21,'Cash Flow'!$F$2:$AJ$2,'Cash Flow'!$F$73:$AJ$73)+LOOKUP($B21,'Cash Flow'!$F$2:$AJ$2,'Cash Flow'!$F$75:$AJ$75))</f>
        <v>-339389.82118968677</v>
      </c>
      <c r="L21" s="173">
        <f>IF($B21&gt;Inputs!$G$19,"",LOOKUP($B21,'Cash Flow'!$F$2:$AJ$2,'Cash Flow'!$F$74:$AJ$74)+LOOKUP($B21,'Cash Flow'!$F$2:$AJ$2,'Cash Flow'!$F$76:$AJ$76))</f>
        <v>-90080.046217403215</v>
      </c>
      <c r="M21" s="173">
        <f>IF($B21&gt;Inputs!$G$19,"",H21+K21+L21)</f>
        <v>657589.62294816831</v>
      </c>
      <c r="N21" s="173">
        <f>IF($B21&gt;Inputs!$G$19,N20,N20+M21)</f>
        <v>3330563.262969078</v>
      </c>
      <c r="O21" s="177">
        <f>IF($B21&gt;Inputs!$G$19,"",LOOKUP($B21,'Cash Flow'!$F$2:$AJ$2,'Cash Flow'!$F$78:$AJ$78))</f>
        <v>9.9958835914971678E-2</v>
      </c>
      <c r="P21" s="178" t="str">
        <f>IF($B21&gt;Inputs!$G$19,"",LOOKUP($B21,'Cash Flow'!$F$2:$AJ$2,'Cash Flow'!$F$51:$AJ$51))</f>
        <v>N/A</v>
      </c>
      <c r="R21" s="392">
        <f>IF($B21&gt;Inputs!$G$19,"",D21+K21+L21)</f>
        <v>2914504.9070786345</v>
      </c>
      <c r="S21" s="393">
        <f>IF($B21&gt;Inputs!$G$19,"",-(E21+F21+G21))</f>
        <v>2256915.2841304662</v>
      </c>
    </row>
    <row r="22" spans="2:19" ht="15">
      <c r="B22" s="175">
        <v>16</v>
      </c>
      <c r="C22" s="176">
        <f>IF($B22&gt;Inputs!$G$19,"",IF($B22&lt;=Inputs!$Q$13,LOOKUP($B22,'Cash Flow'!$F$2:$AJ$2,'Cash Flow'!$F$21:$AJ$21),LOOKUP($B22,'Cash Flow'!$F$2:$AJ$2,'Cash Flow'!$F$23:$AJ$23)))</f>
        <v>12.849999999999998</v>
      </c>
      <c r="D22" s="173">
        <f>IF($B22&gt;Inputs!$G$19,"",LOOKUP($B22,'Cash Flow'!$F$2:$AJ$2,'Cash Flow'!$F$31:$AJ$31))</f>
        <v>3343974.7744857245</v>
      </c>
      <c r="E22" s="173">
        <f>IF($B22&gt;Inputs!$G$19,"",LOOKUP($B22,'Cash Flow'!$F$2:$AJ$2,'Cash Flow'!$F$45:$AJ$45))</f>
        <v>-2321031.6305383286</v>
      </c>
      <c r="F22" s="173">
        <f>IF($B22&gt;Inputs!$G$19,"",LOOKUP($B22,'Cash Flow'!$F$2:$AJ$2,'Cash Flow'!$F$95:$AJ$95))</f>
        <v>0</v>
      </c>
      <c r="G22" s="173">
        <f>IF($B22&gt;Inputs!$G$19,"",LOOKUP($B22,'Cash Flow'!$F$2:$AJ$2,'Cash Flow'!$F$57:$AJ$57)+LOOKUP($B22,'Cash Flow'!$F$2:$AJ$2,'Cash Flow'!$F$58:$AJ$58))</f>
        <v>0</v>
      </c>
      <c r="H22" s="173">
        <f>IF($B22&gt;Inputs!$G$19,"",SUM(D22:G22))</f>
        <v>1022943.143947396</v>
      </c>
      <c r="I22" s="173">
        <f>IF($B22&gt;Inputs!$G$19,"",LOOKUP($B22,'Cash Flow'!$F$2:$AJ$2,'Cash Flow'!$F$70:$AJ$70))</f>
        <v>1002262.845649896</v>
      </c>
      <c r="J22" s="173">
        <f>IF($B22&gt;Inputs!$G$19,"",LOOKUP($B22,'Cash Flow'!$F$2:$AJ$2,'Cash Flow'!$F$71:$AJ$71))</f>
        <v>1002262.845649896</v>
      </c>
      <c r="K22" s="173">
        <f>IF($B22&gt;Inputs!$G$19,"",LOOKUP($B22,'Cash Flow'!$F$2:$AJ$2,'Cash Flow'!$F$73:$AJ$73)+LOOKUP($B22,'Cash Flow'!$F$2:$AJ$2,'Cash Flow'!$F$75:$AJ$75))</f>
        <v>-320974.67631937913</v>
      </c>
      <c r="L22" s="173">
        <f>IF($B22&gt;Inputs!$G$19,"",LOOKUP($B22,'Cash Flow'!$F$2:$AJ$2,'Cash Flow'!$F$74:$AJ$74)+LOOKUP($B22,'Cash Flow'!$F$2:$AJ$2,'Cash Flow'!$F$76:$AJ$76))</f>
        <v>-85192.341880241162</v>
      </c>
      <c r="M22" s="173">
        <f>IF($B22&gt;Inputs!$G$19,"",H22+K22+L22)</f>
        <v>616776.12574777566</v>
      </c>
      <c r="N22" s="173">
        <f>IF($B22&gt;Inputs!$G$19,N21,N21+M22)</f>
        <v>3947339.3887168537</v>
      </c>
      <c r="O22" s="177">
        <f>IF($B22&gt;Inputs!$G$19,"",LOOKUP($B22,'Cash Flow'!$F$2:$AJ$2,'Cash Flow'!$F$78:$AJ$78))</f>
        <v>0.10545160986673552</v>
      </c>
      <c r="P22" s="178" t="str">
        <f>IF($B22&gt;Inputs!$G$19,"",LOOKUP($B22,'Cash Flow'!$F$2:$AJ$2,'Cash Flow'!$F$51:$AJ$51))</f>
        <v>N/A</v>
      </c>
      <c r="R22" s="392">
        <f>IF($B22&gt;Inputs!$G$19,"",D22+K22+L22)</f>
        <v>2937807.7562861047</v>
      </c>
      <c r="S22" s="393">
        <f>IF($B22&gt;Inputs!$G$19,"",-(E22+F22+G22))</f>
        <v>2321031.6305383286</v>
      </c>
    </row>
    <row r="23" spans="2:19" ht="15">
      <c r="B23" s="181">
        <v>17</v>
      </c>
      <c r="C23" s="176">
        <f>IF($B23&gt;Inputs!$G$19,"",IF($B23&lt;=Inputs!$Q$13,LOOKUP($B23,'Cash Flow'!$F$2:$AJ$2,'Cash Flow'!$F$21:$AJ$21),LOOKUP($B23,'Cash Flow'!$F$2:$AJ$2,'Cash Flow'!$F$23:$AJ$23)))</f>
        <v>12.849999999999998</v>
      </c>
      <c r="D23" s="173">
        <f>IF($B23&gt;Inputs!$G$19,"",LOOKUP($B23,'Cash Flow'!$F$2:$AJ$2,'Cash Flow'!$F$31:$AJ$31))</f>
        <v>3343974.7744857231</v>
      </c>
      <c r="E23" s="173">
        <f>IF($B23&gt;Inputs!$G$19,"",LOOKUP($B23,'Cash Flow'!$F$2:$AJ$2,'Cash Flow'!$F$45:$AJ$45))</f>
        <v>-2387204.9177815006</v>
      </c>
      <c r="F23" s="173">
        <f>IF($B23&gt;Inputs!$G$19,"",LOOKUP($B23,'Cash Flow'!$F$2:$AJ$2,'Cash Flow'!$F$95:$AJ$95))</f>
        <v>0</v>
      </c>
      <c r="G23" s="173">
        <f>IF($B23&gt;Inputs!$G$19,"",LOOKUP($B23,'Cash Flow'!$F$2:$AJ$2,'Cash Flow'!$F$57:$AJ$57)+LOOKUP($B23,'Cash Flow'!$F$2:$AJ$2,'Cash Flow'!$F$58:$AJ$58))</f>
        <v>0</v>
      </c>
      <c r="H23" s="173">
        <f>IF($B23&gt;Inputs!$G$19,"",SUM(D23:G23))</f>
        <v>956769.8567042225</v>
      </c>
      <c r="I23" s="173">
        <f>IF($B23&gt;Inputs!$G$19,"",LOOKUP($B23,'Cash Flow'!$F$2:$AJ$2,'Cash Flow'!$F$70:$AJ$70))</f>
        <v>942678.18289672246</v>
      </c>
      <c r="J23" s="173">
        <f>IF($B23&gt;Inputs!$G$19,"",LOOKUP($B23,'Cash Flow'!$F$2:$AJ$2,'Cash Flow'!$F$71:$AJ$71))</f>
        <v>942678.18289672246</v>
      </c>
      <c r="K23" s="173">
        <f>IF($B23&gt;Inputs!$G$19,"",LOOKUP($B23,'Cash Flow'!$F$2:$AJ$2,'Cash Flow'!$F$73:$AJ$73)+LOOKUP($B23,'Cash Flow'!$F$2:$AJ$2,'Cash Flow'!$F$75:$AJ$75))</f>
        <v>-301892.68807267537</v>
      </c>
      <c r="L23" s="173">
        <f>IF($B23&gt;Inputs!$G$19,"",LOOKUP($B23,'Cash Flow'!$F$2:$AJ$2,'Cash Flow'!$F$74:$AJ$74)+LOOKUP($B23,'Cash Flow'!$F$2:$AJ$2,'Cash Flow'!$F$76:$AJ$76))</f>
        <v>-80127.645546221422</v>
      </c>
      <c r="M23" s="173">
        <f>IF($B23&gt;Inputs!$G$19,"",H23+K23+L23)</f>
        <v>574749.52308532572</v>
      </c>
      <c r="N23" s="173">
        <f>IF($B23&gt;Inputs!$G$19,N22,N22+M23)</f>
        <v>4522088.9118021792</v>
      </c>
      <c r="O23" s="177">
        <f>IF($B23&gt;Inputs!$G$19,"",LOOKUP($B23,'Cash Flow'!$F$2:$AJ$2,'Cash Flow'!$F$78:$AJ$78))</f>
        <v>0.10959256279756691</v>
      </c>
      <c r="P23" s="178" t="str">
        <f>IF($B23&gt;Inputs!$G$19,"",LOOKUP($B23,'Cash Flow'!$F$2:$AJ$2,'Cash Flow'!$F$51:$AJ$51))</f>
        <v>N/A</v>
      </c>
      <c r="R23" s="392">
        <f>IF($B23&gt;Inputs!$G$19,"",D23+K23+L23)</f>
        <v>2961954.4408668261</v>
      </c>
      <c r="S23" s="393">
        <f>IF($B23&gt;Inputs!$G$19,"",-(E23+F23+G23))</f>
        <v>2387204.9177815006</v>
      </c>
    </row>
    <row r="24" spans="2:19" ht="15">
      <c r="B24" s="175">
        <v>18</v>
      </c>
      <c r="C24" s="176">
        <f>IF($B24&gt;Inputs!$G$19,"",IF($B24&lt;=Inputs!$Q$13,LOOKUP($B24,'Cash Flow'!$F$2:$AJ$2,'Cash Flow'!$F$21:$AJ$21),LOOKUP($B24,'Cash Flow'!$F$2:$AJ$2,'Cash Flow'!$F$23:$AJ$23)))</f>
        <v>12.849999999999998</v>
      </c>
      <c r="D24" s="173">
        <f>IF($B24&gt;Inputs!$G$19,"",LOOKUP($B24,'Cash Flow'!$F$2:$AJ$2,'Cash Flow'!$F$31:$AJ$31))</f>
        <v>3343974.7744857245</v>
      </c>
      <c r="E24" s="173">
        <f>IF($B24&gt;Inputs!$G$19,"",LOOKUP($B24,'Cash Flow'!$F$2:$AJ$2,'Cash Flow'!$F$45:$AJ$45))</f>
        <v>-2455507.9015708603</v>
      </c>
      <c r="F24" s="173">
        <f>IF($B24&gt;Inputs!$G$19,"",LOOKUP($B24,'Cash Flow'!$F$2:$AJ$2,'Cash Flow'!$F$95:$AJ$95))</f>
        <v>0</v>
      </c>
      <c r="G24" s="173">
        <f>IF($B24&gt;Inputs!$G$19,"",LOOKUP($B24,'Cash Flow'!$F$2:$AJ$2,'Cash Flow'!$F$57:$AJ$57)+LOOKUP($B24,'Cash Flow'!$F$2:$AJ$2,'Cash Flow'!$F$58:$AJ$58))</f>
        <v>0</v>
      </c>
      <c r="H24" s="173">
        <f>IF($B24&gt;Inputs!$G$19,"",SUM(D24:G24))</f>
        <v>888466.87291486422</v>
      </c>
      <c r="I24" s="173">
        <f>IF($B24&gt;Inputs!$G$19,"",LOOKUP($B24,'Cash Flow'!$F$2:$AJ$2,'Cash Flow'!$F$70:$AJ$70))</f>
        <v>874376.68839861418</v>
      </c>
      <c r="J24" s="173">
        <f>IF($B24&gt;Inputs!$G$19,"",LOOKUP($B24,'Cash Flow'!$F$2:$AJ$2,'Cash Flow'!$F$71:$AJ$71))</f>
        <v>874376.68839861418</v>
      </c>
      <c r="K24" s="173">
        <f>IF($B24&gt;Inputs!$G$19,"",LOOKUP($B24,'Cash Flow'!$F$2:$AJ$2,'Cash Flow'!$F$73:$AJ$73)+LOOKUP($B24,'Cash Flow'!$F$2:$AJ$2,'Cash Flow'!$F$75:$AJ$75))</f>
        <v>-280019.1344596562</v>
      </c>
      <c r="L24" s="173">
        <f>IF($B24&gt;Inputs!$G$19,"",LOOKUP($B24,'Cash Flow'!$F$2:$AJ$2,'Cash Flow'!$F$74:$AJ$74)+LOOKUP($B24,'Cash Flow'!$F$2:$AJ$2,'Cash Flow'!$F$76:$AJ$76))</f>
        <v>-74322.018513882213</v>
      </c>
      <c r="M24" s="173">
        <f>IF($B24&gt;Inputs!$G$19,"",H24+K24+L24)</f>
        <v>534125.71994132583</v>
      </c>
      <c r="N24" s="173">
        <f>IF($B24&gt;Inputs!$G$19,N23,N23+M24)</f>
        <v>5056214.6317435047</v>
      </c>
      <c r="O24" s="177">
        <f>IF($B24&gt;Inputs!$G$19,"",LOOKUP($B24,'Cash Flow'!$F$2:$AJ$2,'Cash Flow'!$F$78:$AJ$78))</f>
        <v>0.11276451730506665</v>
      </c>
      <c r="P24" s="178" t="str">
        <f>IF($B24&gt;Inputs!$G$19,"",LOOKUP($B24,'Cash Flow'!$F$2:$AJ$2,'Cash Flow'!$F$51:$AJ$51))</f>
        <v>N/A</v>
      </c>
      <c r="R24" s="392">
        <f>IF($B24&gt;Inputs!$G$19,"",D24+K24+L24)</f>
        <v>2989633.6215121862</v>
      </c>
      <c r="S24" s="393">
        <f>IF($B24&gt;Inputs!$G$19,"",-(E24+F24+G24))</f>
        <v>2455507.9015708603</v>
      </c>
    </row>
    <row r="25" spans="2:19" ht="15">
      <c r="B25" s="175">
        <v>19</v>
      </c>
      <c r="C25" s="176">
        <f>IF($B25&gt;Inputs!$G$19,"",IF($B25&lt;=Inputs!$Q$13,LOOKUP($B25,'Cash Flow'!$F$2:$AJ$2,'Cash Flow'!$F$21:$AJ$21),LOOKUP($B25,'Cash Flow'!$F$2:$AJ$2,'Cash Flow'!$F$23:$AJ$23)))</f>
        <v>12.849999999999998</v>
      </c>
      <c r="D25" s="173">
        <f>IF($B25&gt;Inputs!$G$19,"",LOOKUP($B25,'Cash Flow'!$F$2:$AJ$2,'Cash Flow'!$F$31:$AJ$31))</f>
        <v>3343974.7744857245</v>
      </c>
      <c r="E25" s="173">
        <f>IF($B25&gt;Inputs!$G$19,"",LOOKUP($B25,'Cash Flow'!$F$2:$AJ$2,'Cash Flow'!$F$45:$AJ$45))</f>
        <v>-2526016.083216975</v>
      </c>
      <c r="F25" s="173">
        <f>IF($B25&gt;Inputs!$G$19,"",LOOKUP($B25,'Cash Flow'!$F$2:$AJ$2,'Cash Flow'!$F$95:$AJ$95))</f>
        <v>0</v>
      </c>
      <c r="G25" s="173">
        <f>IF($B25&gt;Inputs!$G$19,"",LOOKUP($B25,'Cash Flow'!$F$2:$AJ$2,'Cash Flow'!$F$57:$AJ$57)+LOOKUP($B25,'Cash Flow'!$F$2:$AJ$2,'Cash Flow'!$F$58:$AJ$58))</f>
        <v>0</v>
      </c>
      <c r="H25" s="173">
        <f>IF($B25&gt;Inputs!$G$19,"",SUM(D25:G25))</f>
        <v>817958.69126874954</v>
      </c>
      <c r="I25" s="173">
        <f>IF($B25&gt;Inputs!$G$19,"",LOOKUP($B25,'Cash Flow'!$F$2:$AJ$2,'Cash Flow'!$F$70:$AJ$70))</f>
        <v>803867.01746124949</v>
      </c>
      <c r="J25" s="173">
        <f>IF($B25&gt;Inputs!$G$19,"",LOOKUP($B25,'Cash Flow'!$F$2:$AJ$2,'Cash Flow'!$F$71:$AJ$71))</f>
        <v>803867.01746124949</v>
      </c>
      <c r="K25" s="173">
        <f>IF($B25&gt;Inputs!$G$19,"",LOOKUP($B25,'Cash Flow'!$F$2:$AJ$2,'Cash Flow'!$F$73:$AJ$73)+LOOKUP($B25,'Cash Flow'!$F$2:$AJ$2,'Cash Flow'!$F$75:$AJ$75))</f>
        <v>-257438.41234196513</v>
      </c>
      <c r="L25" s="173">
        <f>IF($B25&gt;Inputs!$G$19,"",LOOKUP($B25,'Cash Flow'!$F$2:$AJ$2,'Cash Flow'!$F$74:$AJ$74)+LOOKUP($B25,'Cash Flow'!$F$2:$AJ$2,'Cash Flow'!$F$76:$AJ$76))</f>
        <v>-68328.696484206215</v>
      </c>
      <c r="M25" s="173">
        <f>IF($B25&gt;Inputs!$G$19,"",H25+K25+L25)</f>
        <v>492191.58244257816</v>
      </c>
      <c r="N25" s="173">
        <f>IF($B25&gt;Inputs!$G$19,N24,N24+M25)</f>
        <v>5548406.2141860826</v>
      </c>
      <c r="O25" s="177">
        <f>IF($B25&gt;Inputs!$G$19,"",LOOKUP($B25,'Cash Flow'!$F$2:$AJ$2,'Cash Flow'!$F$78:$AJ$78))</f>
        <v>0.11520813241858097</v>
      </c>
      <c r="P25" s="178" t="str">
        <f>IF($B25&gt;Inputs!$G$19,"",LOOKUP($B25,'Cash Flow'!$F$2:$AJ$2,'Cash Flow'!$F$51:$AJ$51))</f>
        <v>N/A</v>
      </c>
      <c r="R25" s="392">
        <f>IF($B25&gt;Inputs!$G$19,"",D25+K25+L25)</f>
        <v>3018207.6656595534</v>
      </c>
      <c r="S25" s="393">
        <f>IF($B25&gt;Inputs!$G$19,"",-(E25+F25+G25))</f>
        <v>2526016.083216975</v>
      </c>
    </row>
    <row r="26" spans="2:19" ht="15">
      <c r="B26" s="181">
        <v>20</v>
      </c>
      <c r="C26" s="176">
        <f>IF($B26&gt;Inputs!$G$19,"",IF($B26&lt;=Inputs!$Q$13,LOOKUP($B26,'Cash Flow'!$F$2:$AJ$2,'Cash Flow'!$F$21:$AJ$21),LOOKUP($B26,'Cash Flow'!$F$2:$AJ$2,'Cash Flow'!$F$23:$AJ$23)))</f>
        <v>12.849999999999998</v>
      </c>
      <c r="D26" s="173">
        <f>IF($B26&gt;Inputs!$G$19,"",LOOKUP($B26,'Cash Flow'!$F$2:$AJ$2,'Cash Flow'!$F$31:$AJ$31))</f>
        <v>3335994.282242862</v>
      </c>
      <c r="E26" s="173">
        <f>IF($B26&gt;Inputs!$G$19,"",LOOKUP($B26,'Cash Flow'!$F$2:$AJ$2,'Cash Flow'!$F$45:$AJ$45))</f>
        <v>-2477327.386304081</v>
      </c>
      <c r="F26" s="173">
        <f>IF($B26&gt;Inputs!$G$19,"",LOOKUP($B26,'Cash Flow'!$F$2:$AJ$2,'Cash Flow'!$F$95:$AJ$95))</f>
        <v>0</v>
      </c>
      <c r="G26" s="173">
        <f>IF($B26&gt;Inputs!$G$19,"",LOOKUP($B26,'Cash Flow'!$F$2:$AJ$2,'Cash Flow'!$F$57:$AJ$57)+LOOKUP($B26,'Cash Flow'!$F$2:$AJ$2,'Cash Flow'!$F$58:$AJ$58))</f>
        <v>1064065.6323816241</v>
      </c>
      <c r="H26" s="173">
        <f>IF($B26&gt;Inputs!$G$19,"",SUM(D26:G26))</f>
        <v>1922732.5283204052</v>
      </c>
      <c r="I26" s="173">
        <f>IF($B26&gt;Inputs!$G$19,"",LOOKUP($B26,'Cash Flow'!$F$2:$AJ$2,'Cash Flow'!$F$70:$AJ$70))</f>
        <v>844576.71142253105</v>
      </c>
      <c r="J26" s="173">
        <f>IF($B26&gt;Inputs!$G$19,"",LOOKUP($B26,'Cash Flow'!$F$2:$AJ$2,'Cash Flow'!$F$71:$AJ$71))</f>
        <v>844576.71142253105</v>
      </c>
      <c r="K26" s="173">
        <f>IF($B26&gt;Inputs!$G$19,"",LOOKUP($B26,'Cash Flow'!$F$2:$AJ$2,'Cash Flow'!$F$73:$AJ$73)+LOOKUP($B26,'Cash Flow'!$F$2:$AJ$2,'Cash Flow'!$F$75:$AJ$75))</f>
        <v>-270475.69183306553</v>
      </c>
      <c r="L26" s="173">
        <f>IF($B26&gt;Inputs!$G$19,"",LOOKUP($B26,'Cash Flow'!$F$2:$AJ$2,'Cash Flow'!$F$74:$AJ$74)+LOOKUP($B26,'Cash Flow'!$F$2:$AJ$2,'Cash Flow'!$F$76:$AJ$76))</f>
        <v>-71789.020470915144</v>
      </c>
      <c r="M26" s="173">
        <f>IF($B26&gt;Inputs!$G$19,"",H26+K26+L26)</f>
        <v>1580467.8160164244</v>
      </c>
      <c r="N26" s="173">
        <f>IF($B26&gt;Inputs!$G$19,N25,N25+M26)</f>
        <v>7128874.030202507</v>
      </c>
      <c r="O26" s="177">
        <f>IF($B26&gt;Inputs!$G$19,"",LOOKUP($B26,'Cash Flow'!$F$2:$AJ$2,'Cash Flow'!$F$78:$AJ$78))</f>
        <v>0.12144848034410982</v>
      </c>
      <c r="P26" s="178" t="str">
        <f>IF($B26&gt;Inputs!$G$19,"",LOOKUP($B26,'Cash Flow'!$F$2:$AJ$2,'Cash Flow'!$F$51:$AJ$51))</f>
        <v>N/A</v>
      </c>
      <c r="R26" s="392">
        <f>IF($B26&gt;Inputs!$G$19,"",D26+K26+L26)</f>
        <v>2993729.5699388813</v>
      </c>
      <c r="S26" s="393">
        <f>IF($B26&gt;Inputs!$G$19,"",-(E26+F26+G26))</f>
        <v>1413261.7539224569</v>
      </c>
    </row>
    <row r="27" spans="2:19" ht="15">
      <c r="B27" s="175">
        <v>21</v>
      </c>
      <c r="C27" s="176" t="str">
        <f>IF($B27&gt;Inputs!$G$19,"",IF($B27&lt;=Inputs!$Q$13,LOOKUP($B27,'Cash Flow'!$F$2:$AJ$2,'Cash Flow'!$F$21:$AJ$21),LOOKUP($B27,'Cash Flow'!$F$2:$AJ$2,'Cash Flow'!$F$23:$AJ$23)))</f>
        <v/>
      </c>
      <c r="D27" s="173" t="str">
        <f>IF($B27&gt;Inputs!$G$19,"",LOOKUP($B27,'Cash Flow'!$F$2:$AJ$2,'Cash Flow'!$F$31:$AJ$31))</f>
        <v/>
      </c>
      <c r="E27" s="173" t="str">
        <f>IF($B27&gt;Inputs!$G$19,"",LOOKUP($B27,'Cash Flow'!$F$2:$AJ$2,'Cash Flow'!$F$45:$AJ$45))</f>
        <v/>
      </c>
      <c r="F27" s="173" t="str">
        <f>IF($B27&gt;Inputs!$G$19,"",LOOKUP($B27,'Cash Flow'!$F$2:$AJ$2,'Cash Flow'!$F$95:$AJ$95))</f>
        <v/>
      </c>
      <c r="G27" s="173" t="str">
        <f>IF($B27&gt;Inputs!$G$19,"",LOOKUP($B27,'Cash Flow'!$F$2:$AJ$2,'Cash Flow'!$F$57:$AJ$57)+LOOKUP($B27,'Cash Flow'!$F$2:$AJ$2,'Cash Flow'!$F$58:$AJ$58))</f>
        <v/>
      </c>
      <c r="H27" s="173" t="str">
        <f>IF($B27&gt;Inputs!$G$19,"",SUM(D27:G27))</f>
        <v/>
      </c>
      <c r="I27" s="173" t="str">
        <f>IF($B27&gt;Inputs!$G$19,"",LOOKUP($B27,'Cash Flow'!$F$2:$AJ$2,'Cash Flow'!$F$70:$AJ$70))</f>
        <v/>
      </c>
      <c r="J27" s="173" t="str">
        <f>IF($B27&gt;Inputs!$G$19,"",LOOKUP($B27,'Cash Flow'!$F$2:$AJ$2,'Cash Flow'!$F$71:$AJ$71))</f>
        <v/>
      </c>
      <c r="K27" s="173" t="str">
        <f>IF($B27&gt;Inputs!$G$19,"",LOOKUP($B27,'Cash Flow'!$F$2:$AJ$2,'Cash Flow'!$F$73:$AJ$73)+LOOKUP($B27,'Cash Flow'!$F$2:$AJ$2,'Cash Flow'!$F$75:$AJ$75))</f>
        <v/>
      </c>
      <c r="L27" s="173" t="str">
        <f>IF($B27&gt;Inputs!$G$19,"",LOOKUP($B27,'Cash Flow'!$F$2:$AJ$2,'Cash Flow'!$F$74:$AJ$74)+LOOKUP($B27,'Cash Flow'!$F$2:$AJ$2,'Cash Flow'!$F$76:$AJ$76))</f>
        <v/>
      </c>
      <c r="M27" s="173" t="str">
        <f>IF($B27&gt;Inputs!$G$19,"",H27+K27+L27)</f>
        <v/>
      </c>
      <c r="N27" s="173">
        <f>IF($B27&gt;Inputs!$G$19,N26,N26+M27)</f>
        <v>7128874.030202507</v>
      </c>
      <c r="O27" s="177" t="str">
        <f>IF($B27&gt;Inputs!$G$19,"",LOOKUP($B27,'Cash Flow'!$F$2:$AJ$2,'Cash Flow'!$F$78:$AJ$78))</f>
        <v/>
      </c>
      <c r="P27" s="178" t="str">
        <f>IF($B27&gt;Inputs!$G$19,"",LOOKUP($B27,'Cash Flow'!$F$2:$AJ$2,'Cash Flow'!$F$51:$AJ$51))</f>
        <v/>
      </c>
      <c r="R27" s="392" t="str">
        <f>IF($B27&gt;Inputs!$G$19,"",D27+K27+L27)</f>
        <v/>
      </c>
      <c r="S27" s="393" t="str">
        <f>IF($B27&gt;Inputs!$G$19,"",-(E27+F27+G27))</f>
        <v/>
      </c>
    </row>
    <row r="28" spans="2:19" ht="15">
      <c r="B28" s="175">
        <v>22</v>
      </c>
      <c r="C28" s="176" t="str">
        <f>IF($B28&gt;Inputs!$G$19,"",IF($B28&lt;=Inputs!$Q$13,LOOKUP($B28,'Cash Flow'!$F$2:$AJ$2,'Cash Flow'!$F$21:$AJ$21),LOOKUP($B28,'Cash Flow'!$F$2:$AJ$2,'Cash Flow'!$F$23:$AJ$23)))</f>
        <v/>
      </c>
      <c r="D28" s="173" t="str">
        <f>IF($B28&gt;Inputs!$G$19,"",LOOKUP($B28,'Cash Flow'!$F$2:$AJ$2,'Cash Flow'!$F$31:$AJ$31))</f>
        <v/>
      </c>
      <c r="E28" s="173" t="str">
        <f>IF($B28&gt;Inputs!$G$19,"",LOOKUP($B28,'Cash Flow'!$F$2:$AJ$2,'Cash Flow'!$F$45:$AJ$45))</f>
        <v/>
      </c>
      <c r="F28" s="173" t="str">
        <f>IF($B28&gt;Inputs!$G$19,"",LOOKUP($B28,'Cash Flow'!$F$2:$AJ$2,'Cash Flow'!$F$95:$AJ$95))</f>
        <v/>
      </c>
      <c r="G28" s="173" t="str">
        <f>IF($B28&gt;Inputs!$G$19,"",LOOKUP($B28,'Cash Flow'!$F$2:$AJ$2,'Cash Flow'!$F$57:$AJ$57)+LOOKUP($B28,'Cash Flow'!$F$2:$AJ$2,'Cash Flow'!$F$58:$AJ$58))</f>
        <v/>
      </c>
      <c r="H28" s="173" t="str">
        <f>IF($B28&gt;Inputs!$G$19,"",SUM(D28:G28))</f>
        <v/>
      </c>
      <c r="I28" s="173" t="str">
        <f>IF($B28&gt;Inputs!$G$19,"",LOOKUP($B28,'Cash Flow'!$F$2:$AJ$2,'Cash Flow'!$F$70:$AJ$70))</f>
        <v/>
      </c>
      <c r="J28" s="173" t="str">
        <f>IF($B28&gt;Inputs!$G$19,"",LOOKUP($B28,'Cash Flow'!$F$2:$AJ$2,'Cash Flow'!$F$71:$AJ$71))</f>
        <v/>
      </c>
      <c r="K28" s="173" t="str">
        <f>IF($B28&gt;Inputs!$G$19,"",LOOKUP($B28,'Cash Flow'!$F$2:$AJ$2,'Cash Flow'!$F$73:$AJ$73)+LOOKUP($B28,'Cash Flow'!$F$2:$AJ$2,'Cash Flow'!$F$75:$AJ$75))</f>
        <v/>
      </c>
      <c r="L28" s="173" t="str">
        <f>IF($B28&gt;Inputs!$G$19,"",LOOKUP($B28,'Cash Flow'!$F$2:$AJ$2,'Cash Flow'!$F$74:$AJ$74)+LOOKUP($B28,'Cash Flow'!$F$2:$AJ$2,'Cash Flow'!$F$76:$AJ$76))</f>
        <v/>
      </c>
      <c r="M28" s="173" t="str">
        <f>IF($B28&gt;Inputs!$G$19,"",H28+K28+L28)</f>
        <v/>
      </c>
      <c r="N28" s="173">
        <f>IF($B28&gt;Inputs!$G$19,N27,N27+M28)</f>
        <v>7128874.030202507</v>
      </c>
      <c r="O28" s="177" t="str">
        <f>IF($B28&gt;Inputs!$G$19,"",LOOKUP($B28,'Cash Flow'!$F$2:$AJ$2,'Cash Flow'!$F$78:$AJ$78))</f>
        <v/>
      </c>
      <c r="P28" s="178" t="str">
        <f>IF($B28&gt;Inputs!$G$19,"",LOOKUP($B28,'Cash Flow'!$F$2:$AJ$2,'Cash Flow'!$F$51:$AJ$51))</f>
        <v/>
      </c>
      <c r="R28" s="392" t="str">
        <f>IF($B28&gt;Inputs!$G$19,"",D28+K28+L28)</f>
        <v/>
      </c>
      <c r="S28" s="393" t="str">
        <f>IF($B28&gt;Inputs!$G$19,"",-(E28+F28+G28))</f>
        <v/>
      </c>
    </row>
    <row r="29" spans="2:19" ht="15">
      <c r="B29" s="181">
        <v>23</v>
      </c>
      <c r="C29" s="176" t="str">
        <f>IF($B29&gt;Inputs!$G$19,"",IF($B29&lt;=Inputs!$Q$13,LOOKUP($B29,'Cash Flow'!$F$2:$AJ$2,'Cash Flow'!$F$21:$AJ$21),LOOKUP($B29,'Cash Flow'!$F$2:$AJ$2,'Cash Flow'!$F$23:$AJ$23)))</f>
        <v/>
      </c>
      <c r="D29" s="173" t="str">
        <f>IF($B29&gt;Inputs!$G$19,"",LOOKUP($B29,'Cash Flow'!$F$2:$AJ$2,'Cash Flow'!$F$31:$AJ$31))</f>
        <v/>
      </c>
      <c r="E29" s="173" t="str">
        <f>IF($B29&gt;Inputs!$G$19,"",LOOKUP($B29,'Cash Flow'!$F$2:$AJ$2,'Cash Flow'!$F$45:$AJ$45))</f>
        <v/>
      </c>
      <c r="F29" s="173" t="str">
        <f>IF($B29&gt;Inputs!$G$19,"",LOOKUP($B29,'Cash Flow'!$F$2:$AJ$2,'Cash Flow'!$F$95:$AJ$95))</f>
        <v/>
      </c>
      <c r="G29" s="173" t="str">
        <f>IF($B29&gt;Inputs!$G$19,"",LOOKUP($B29,'Cash Flow'!$F$2:$AJ$2,'Cash Flow'!$F$57:$AJ$57)+LOOKUP($B29,'Cash Flow'!$F$2:$AJ$2,'Cash Flow'!$F$58:$AJ$58))</f>
        <v/>
      </c>
      <c r="H29" s="173" t="str">
        <f>IF($B29&gt;Inputs!$G$19,"",SUM(D29:G29))</f>
        <v/>
      </c>
      <c r="I29" s="173" t="str">
        <f>IF($B29&gt;Inputs!$G$19,"",LOOKUP($B29,'Cash Flow'!$F$2:$AJ$2,'Cash Flow'!$F$70:$AJ$70))</f>
        <v/>
      </c>
      <c r="J29" s="173" t="str">
        <f>IF($B29&gt;Inputs!$G$19,"",LOOKUP($B29,'Cash Flow'!$F$2:$AJ$2,'Cash Flow'!$F$71:$AJ$71))</f>
        <v/>
      </c>
      <c r="K29" s="173" t="str">
        <f>IF($B29&gt;Inputs!$G$19,"",LOOKUP($B29,'Cash Flow'!$F$2:$AJ$2,'Cash Flow'!$F$73:$AJ$73)+LOOKUP($B29,'Cash Flow'!$F$2:$AJ$2,'Cash Flow'!$F$75:$AJ$75))</f>
        <v/>
      </c>
      <c r="L29" s="173" t="str">
        <f>IF($B29&gt;Inputs!$G$19,"",LOOKUP($B29,'Cash Flow'!$F$2:$AJ$2,'Cash Flow'!$F$74:$AJ$74)+LOOKUP($B29,'Cash Flow'!$F$2:$AJ$2,'Cash Flow'!$F$76:$AJ$76))</f>
        <v/>
      </c>
      <c r="M29" s="173" t="str">
        <f>IF($B29&gt;Inputs!$G$19,"",H29+K29+L29)</f>
        <v/>
      </c>
      <c r="N29" s="173">
        <f>IF($B29&gt;Inputs!$G$19,N28,N28+M29)</f>
        <v>7128874.030202507</v>
      </c>
      <c r="O29" s="177" t="str">
        <f>IF($B29&gt;Inputs!$G$19,"",LOOKUP($B29,'Cash Flow'!$F$2:$AJ$2,'Cash Flow'!$F$78:$AJ$78))</f>
        <v/>
      </c>
      <c r="P29" s="178" t="str">
        <f>IF($B29&gt;Inputs!$G$19,"",LOOKUP($B29,'Cash Flow'!$F$2:$AJ$2,'Cash Flow'!$F$51:$AJ$51))</f>
        <v/>
      </c>
      <c r="R29" s="392" t="str">
        <f>IF($B29&gt;Inputs!$G$19,"",D29+K29+L29)</f>
        <v/>
      </c>
      <c r="S29" s="393" t="str">
        <f>IF($B29&gt;Inputs!$G$19,"",-(E29+F29+G29))</f>
        <v/>
      </c>
    </row>
    <row r="30" spans="2:19" ht="15">
      <c r="B30" s="175">
        <v>24</v>
      </c>
      <c r="C30" s="176" t="str">
        <f>IF($B30&gt;Inputs!$G$19,"",IF($B30&lt;=Inputs!$Q$13,LOOKUP($B30,'Cash Flow'!$F$2:$AJ$2,'Cash Flow'!$F$21:$AJ$21),LOOKUP($B30,'Cash Flow'!$F$2:$AJ$2,'Cash Flow'!$F$23:$AJ$23)))</f>
        <v/>
      </c>
      <c r="D30" s="173" t="str">
        <f>IF($B30&gt;Inputs!$G$19,"",LOOKUP($B30,'Cash Flow'!$F$2:$AJ$2,'Cash Flow'!$F$31:$AJ$31))</f>
        <v/>
      </c>
      <c r="E30" s="173" t="str">
        <f>IF($B30&gt;Inputs!$G$19,"",LOOKUP($B30,'Cash Flow'!$F$2:$AJ$2,'Cash Flow'!$F$45:$AJ$45))</f>
        <v/>
      </c>
      <c r="F30" s="173" t="str">
        <f>IF($B30&gt;Inputs!$G$19,"",LOOKUP($B30,'Cash Flow'!$F$2:$AJ$2,'Cash Flow'!$F$95:$AJ$95))</f>
        <v/>
      </c>
      <c r="G30" s="173" t="str">
        <f>IF($B30&gt;Inputs!$G$19,"",LOOKUP($B30,'Cash Flow'!$F$2:$AJ$2,'Cash Flow'!$F$57:$AJ$57)+LOOKUP($B30,'Cash Flow'!$F$2:$AJ$2,'Cash Flow'!$F$58:$AJ$58))</f>
        <v/>
      </c>
      <c r="H30" s="173" t="str">
        <f>IF($B30&gt;Inputs!$G$19,"",SUM(D30:G30))</f>
        <v/>
      </c>
      <c r="I30" s="173" t="str">
        <f>IF($B30&gt;Inputs!$G$19,"",LOOKUP($B30,'Cash Flow'!$F$2:$AJ$2,'Cash Flow'!$F$70:$AJ$70))</f>
        <v/>
      </c>
      <c r="J30" s="173" t="str">
        <f>IF($B30&gt;Inputs!$G$19,"",LOOKUP($B30,'Cash Flow'!$F$2:$AJ$2,'Cash Flow'!$F$71:$AJ$71))</f>
        <v/>
      </c>
      <c r="K30" s="173" t="str">
        <f>IF($B30&gt;Inputs!$G$19,"",LOOKUP($B30,'Cash Flow'!$F$2:$AJ$2,'Cash Flow'!$F$73:$AJ$73)+LOOKUP($B30,'Cash Flow'!$F$2:$AJ$2,'Cash Flow'!$F$75:$AJ$75))</f>
        <v/>
      </c>
      <c r="L30" s="173" t="str">
        <f>IF($B30&gt;Inputs!$G$19,"",LOOKUP($B30,'Cash Flow'!$F$2:$AJ$2,'Cash Flow'!$F$74:$AJ$74)+LOOKUP($B30,'Cash Flow'!$F$2:$AJ$2,'Cash Flow'!$F$76:$AJ$76))</f>
        <v/>
      </c>
      <c r="M30" s="173" t="str">
        <f>IF($B30&gt;Inputs!$G$19,"",H30+K30+L30)</f>
        <v/>
      </c>
      <c r="N30" s="173">
        <f>IF($B30&gt;Inputs!$G$19,N29,N29+M30)</f>
        <v>7128874.030202507</v>
      </c>
      <c r="O30" s="177" t="str">
        <f>IF($B30&gt;Inputs!$G$19,"",LOOKUP($B30,'Cash Flow'!$F$2:$AJ$2,'Cash Flow'!$F$78:$AJ$78))</f>
        <v/>
      </c>
      <c r="P30" s="178" t="str">
        <f>IF($B30&gt;Inputs!$G$19,"",LOOKUP($B30,'Cash Flow'!$F$2:$AJ$2,'Cash Flow'!$F$51:$AJ$51))</f>
        <v/>
      </c>
      <c r="R30" s="392" t="str">
        <f>IF($B30&gt;Inputs!$G$19,"",D30+K30+L30)</f>
        <v/>
      </c>
      <c r="S30" s="393" t="str">
        <f>IF($B30&gt;Inputs!$G$19,"",-(E30+F30+G30))</f>
        <v/>
      </c>
    </row>
    <row r="31" spans="2:19" ht="15">
      <c r="B31" s="175">
        <v>25</v>
      </c>
      <c r="C31" s="176" t="str">
        <f>IF($B31&gt;Inputs!$G$19,"",IF($B31&lt;=Inputs!$Q$13,LOOKUP($B31,'Cash Flow'!$F$2:$AJ$2,'Cash Flow'!$F$21:$AJ$21),LOOKUP($B31,'Cash Flow'!$F$2:$AJ$2,'Cash Flow'!$F$23:$AJ$23)))</f>
        <v/>
      </c>
      <c r="D31" s="173" t="str">
        <f>IF($B31&gt;Inputs!$G$19,"",LOOKUP($B31,'Cash Flow'!$F$2:$AJ$2,'Cash Flow'!$F$31:$AJ$31))</f>
        <v/>
      </c>
      <c r="E31" s="173" t="str">
        <f>IF($B31&gt;Inputs!$G$19,"",LOOKUP($B31,'Cash Flow'!$F$2:$AJ$2,'Cash Flow'!$F$45:$AJ$45))</f>
        <v/>
      </c>
      <c r="F31" s="173" t="str">
        <f>IF($B31&gt;Inputs!$G$19,"",LOOKUP($B31,'Cash Flow'!$F$2:$AJ$2,'Cash Flow'!$F$95:$AJ$95))</f>
        <v/>
      </c>
      <c r="G31" s="173" t="str">
        <f>IF($B31&gt;Inputs!$G$19,"",LOOKUP($B31,'Cash Flow'!$F$2:$AJ$2,'Cash Flow'!$F$57:$AJ$57)+LOOKUP($B31,'Cash Flow'!$F$2:$AJ$2,'Cash Flow'!$F$58:$AJ$58))</f>
        <v/>
      </c>
      <c r="H31" s="173" t="str">
        <f>IF($B31&gt;Inputs!$G$19,"",SUM(D31:G31))</f>
        <v/>
      </c>
      <c r="I31" s="173" t="str">
        <f>IF($B31&gt;Inputs!$G$19,"",LOOKUP($B31,'Cash Flow'!$F$2:$AJ$2,'Cash Flow'!$F$70:$AJ$70))</f>
        <v/>
      </c>
      <c r="J31" s="173" t="str">
        <f>IF($B31&gt;Inputs!$G$19,"",LOOKUP($B31,'Cash Flow'!$F$2:$AJ$2,'Cash Flow'!$F$71:$AJ$71))</f>
        <v/>
      </c>
      <c r="K31" s="173" t="str">
        <f>IF($B31&gt;Inputs!$G$19,"",LOOKUP($B31,'Cash Flow'!$F$2:$AJ$2,'Cash Flow'!$F$73:$AJ$73)+LOOKUP($B31,'Cash Flow'!$F$2:$AJ$2,'Cash Flow'!$F$75:$AJ$75))</f>
        <v/>
      </c>
      <c r="L31" s="173" t="str">
        <f>IF($B31&gt;Inputs!$G$19,"",LOOKUP($B31,'Cash Flow'!$F$2:$AJ$2,'Cash Flow'!$F$74:$AJ$74)+LOOKUP($B31,'Cash Flow'!$F$2:$AJ$2,'Cash Flow'!$F$76:$AJ$76))</f>
        <v/>
      </c>
      <c r="M31" s="173" t="str">
        <f>IF($B31&gt;Inputs!$G$19,"",H31+K31+L31)</f>
        <v/>
      </c>
      <c r="N31" s="173">
        <f>IF($B31&gt;Inputs!$G$19,N30,N30+M31)</f>
        <v>7128874.030202507</v>
      </c>
      <c r="O31" s="177" t="str">
        <f>IF($B31&gt;Inputs!$G$19,"",LOOKUP($B31,'Cash Flow'!$F$2:$AJ$2,'Cash Flow'!$F$78:$AJ$78))</f>
        <v/>
      </c>
      <c r="P31" s="178" t="str">
        <f>IF($B31&gt;Inputs!$G$19,"",LOOKUP($B31,'Cash Flow'!$F$2:$AJ$2,'Cash Flow'!$F$51:$AJ$51))</f>
        <v/>
      </c>
      <c r="R31" s="392" t="str">
        <f>IF($B31&gt;Inputs!$G$19,"",D31+K31+L31)</f>
        <v/>
      </c>
      <c r="S31" s="393" t="str">
        <f>IF($B31&gt;Inputs!$G$19,"",-(E31+F31+G31))</f>
        <v/>
      </c>
    </row>
    <row r="32" spans="2:19" ht="15">
      <c r="B32" s="181">
        <v>26</v>
      </c>
      <c r="C32" s="176" t="str">
        <f>IF($B32&gt;Inputs!$G$19,"",IF($B32&lt;=Inputs!$Q$13,LOOKUP($B32,'Cash Flow'!$F$2:$AJ$2,'Cash Flow'!$F$21:$AJ$21),LOOKUP($B32,'Cash Flow'!$F$2:$AJ$2,'Cash Flow'!$F$23:$AJ$23)))</f>
        <v/>
      </c>
      <c r="D32" s="173" t="str">
        <f>IF($B32&gt;Inputs!$G$19,"",LOOKUP($B32,'Cash Flow'!$F$2:$AJ$2,'Cash Flow'!$F$31:$AJ$31))</f>
        <v/>
      </c>
      <c r="E32" s="173" t="str">
        <f>IF($B32&gt;Inputs!$G$19,"",LOOKUP($B32,'Cash Flow'!$F$2:$AJ$2,'Cash Flow'!$F$45:$AJ$45))</f>
        <v/>
      </c>
      <c r="F32" s="173" t="str">
        <f>IF($B32&gt;Inputs!$G$19,"",LOOKUP($B32,'Cash Flow'!$F$2:$AJ$2,'Cash Flow'!$F$95:$AJ$95))</f>
        <v/>
      </c>
      <c r="G32" s="173" t="str">
        <f>IF($B32&gt;Inputs!$G$19,"",LOOKUP($B32,'Cash Flow'!$F$2:$AJ$2,'Cash Flow'!$F$57:$AJ$57)+LOOKUP($B32,'Cash Flow'!$F$2:$AJ$2,'Cash Flow'!$F$58:$AJ$58))</f>
        <v/>
      </c>
      <c r="H32" s="173" t="str">
        <f>IF($B32&gt;Inputs!$G$19,"",SUM(D32:G32))</f>
        <v/>
      </c>
      <c r="I32" s="173" t="str">
        <f>IF($B32&gt;Inputs!$G$19,"",LOOKUP($B32,'Cash Flow'!$F$2:$AJ$2,'Cash Flow'!$F$70:$AJ$70))</f>
        <v/>
      </c>
      <c r="J32" s="173" t="str">
        <f>IF($B32&gt;Inputs!$G$19,"",LOOKUP($B32,'Cash Flow'!$F$2:$AJ$2,'Cash Flow'!$F$71:$AJ$71))</f>
        <v/>
      </c>
      <c r="K32" s="173" t="str">
        <f>IF($B32&gt;Inputs!$G$19,"",LOOKUP($B32,'Cash Flow'!$F$2:$AJ$2,'Cash Flow'!$F$73:$AJ$73)+LOOKUP($B32,'Cash Flow'!$F$2:$AJ$2,'Cash Flow'!$F$75:$AJ$75))</f>
        <v/>
      </c>
      <c r="L32" s="173" t="str">
        <f>IF($B32&gt;Inputs!$G$19,"",LOOKUP($B32,'Cash Flow'!$F$2:$AJ$2,'Cash Flow'!$F$74:$AJ$74)+LOOKUP($B32,'Cash Flow'!$F$2:$AJ$2,'Cash Flow'!$F$76:$AJ$76))</f>
        <v/>
      </c>
      <c r="M32" s="173" t="str">
        <f>IF($B32&gt;Inputs!$G$19,"",H32+K32+L32)</f>
        <v/>
      </c>
      <c r="N32" s="173">
        <f>IF($B32&gt;Inputs!$G$19,N31,N31+M32)</f>
        <v>7128874.030202507</v>
      </c>
      <c r="O32" s="177" t="str">
        <f>IF($B32&gt;Inputs!$G$19,"",LOOKUP($B32,'Cash Flow'!$F$2:$AJ$2,'Cash Flow'!$F$78:$AJ$78))</f>
        <v/>
      </c>
      <c r="P32" s="178" t="str">
        <f>IF($B32&gt;Inputs!$G$19,"",LOOKUP($B32,'Cash Flow'!$F$2:$AJ$2,'Cash Flow'!$F$51:$AJ$51))</f>
        <v/>
      </c>
      <c r="R32" s="392" t="str">
        <f>IF($B32&gt;Inputs!$G$19,"",D32+K32+L32)</f>
        <v/>
      </c>
      <c r="S32" s="393" t="str">
        <f>IF($B32&gt;Inputs!$G$19,"",-(E32+F32+G32))</f>
        <v/>
      </c>
    </row>
    <row r="33" spans="2:19" ht="15">
      <c r="B33" s="175">
        <v>27</v>
      </c>
      <c r="C33" s="176" t="str">
        <f>IF($B33&gt;Inputs!$G$19,"",IF($B33&lt;=Inputs!$Q$13,LOOKUP($B33,'Cash Flow'!$F$2:$AJ$2,'Cash Flow'!$F$21:$AJ$21),LOOKUP($B33,'Cash Flow'!$F$2:$AJ$2,'Cash Flow'!$F$23:$AJ$23)))</f>
        <v/>
      </c>
      <c r="D33" s="173" t="str">
        <f>IF($B33&gt;Inputs!$G$19,"",LOOKUP($B33,'Cash Flow'!$F$2:$AJ$2,'Cash Flow'!$F$31:$AJ$31))</f>
        <v/>
      </c>
      <c r="E33" s="173" t="str">
        <f>IF($B33&gt;Inputs!$G$19,"",LOOKUP($B33,'Cash Flow'!$F$2:$AJ$2,'Cash Flow'!$F$45:$AJ$45))</f>
        <v/>
      </c>
      <c r="F33" s="173" t="str">
        <f>IF($B33&gt;Inputs!$G$19,"",LOOKUP($B33,'Cash Flow'!$F$2:$AJ$2,'Cash Flow'!$F$95:$AJ$95))</f>
        <v/>
      </c>
      <c r="G33" s="173" t="str">
        <f>IF($B33&gt;Inputs!$G$19,"",LOOKUP($B33,'Cash Flow'!$F$2:$AJ$2,'Cash Flow'!$F$57:$AJ$57)+LOOKUP($B33,'Cash Flow'!$F$2:$AJ$2,'Cash Flow'!$F$58:$AJ$58))</f>
        <v/>
      </c>
      <c r="H33" s="173" t="str">
        <f>IF($B33&gt;Inputs!$G$19,"",SUM(D33:G33))</f>
        <v/>
      </c>
      <c r="I33" s="173" t="str">
        <f>IF($B33&gt;Inputs!$G$19,"",LOOKUP($B33,'Cash Flow'!$F$2:$AJ$2,'Cash Flow'!$F$70:$AJ$70))</f>
        <v/>
      </c>
      <c r="J33" s="173" t="str">
        <f>IF($B33&gt;Inputs!$G$19,"",LOOKUP($B33,'Cash Flow'!$F$2:$AJ$2,'Cash Flow'!$F$71:$AJ$71))</f>
        <v/>
      </c>
      <c r="K33" s="173" t="str">
        <f>IF($B33&gt;Inputs!$G$19,"",LOOKUP($B33,'Cash Flow'!$F$2:$AJ$2,'Cash Flow'!$F$73:$AJ$73)+LOOKUP($B33,'Cash Flow'!$F$2:$AJ$2,'Cash Flow'!$F$75:$AJ$75))</f>
        <v/>
      </c>
      <c r="L33" s="173" t="str">
        <f>IF($B33&gt;Inputs!$G$19,"",LOOKUP($B33,'Cash Flow'!$F$2:$AJ$2,'Cash Flow'!$F$74:$AJ$74)+LOOKUP($B33,'Cash Flow'!$F$2:$AJ$2,'Cash Flow'!$F$76:$AJ$76))</f>
        <v/>
      </c>
      <c r="M33" s="173" t="str">
        <f>IF($B33&gt;Inputs!$G$19,"",H33+K33+L33)</f>
        <v/>
      </c>
      <c r="N33" s="173">
        <f>IF($B33&gt;Inputs!$G$19,N32,N32+M33)</f>
        <v>7128874.030202507</v>
      </c>
      <c r="O33" s="177" t="str">
        <f>IF($B33&gt;Inputs!$G$19,"",LOOKUP($B33,'Cash Flow'!$F$2:$AJ$2,'Cash Flow'!$F$78:$AJ$78))</f>
        <v/>
      </c>
      <c r="P33" s="178" t="str">
        <f>IF($B33&gt;Inputs!$G$19,"",LOOKUP($B33,'Cash Flow'!$F$2:$AJ$2,'Cash Flow'!$F$51:$AJ$51))</f>
        <v/>
      </c>
      <c r="R33" s="392" t="str">
        <f>IF($B33&gt;Inputs!$G$19,"",D33+K33+L33)</f>
        <v/>
      </c>
      <c r="S33" s="393" t="str">
        <f>IF($B33&gt;Inputs!$G$19,"",-(E33+F33+G33))</f>
        <v/>
      </c>
    </row>
    <row r="34" spans="2:19" ht="15">
      <c r="B34" s="175">
        <v>28</v>
      </c>
      <c r="C34" s="176" t="str">
        <f>IF($B34&gt;Inputs!$G$19,"",IF($B34&lt;=Inputs!$Q$13,LOOKUP($B34,'Cash Flow'!$F$2:$AJ$2,'Cash Flow'!$F$21:$AJ$21),LOOKUP($B34,'Cash Flow'!$F$2:$AJ$2,'Cash Flow'!$F$23:$AJ$23)))</f>
        <v/>
      </c>
      <c r="D34" s="173" t="str">
        <f>IF($B34&gt;Inputs!$G$19,"",LOOKUP($B34,'Cash Flow'!$F$2:$AJ$2,'Cash Flow'!$F$31:$AJ$31))</f>
        <v/>
      </c>
      <c r="E34" s="173" t="str">
        <f>IF($B34&gt;Inputs!$G$19,"",LOOKUP($B34,'Cash Flow'!$F$2:$AJ$2,'Cash Flow'!$F$45:$AJ$45))</f>
        <v/>
      </c>
      <c r="F34" s="173" t="str">
        <f>IF($B34&gt;Inputs!$G$19,"",LOOKUP($B34,'Cash Flow'!$F$2:$AJ$2,'Cash Flow'!$F$95:$AJ$95))</f>
        <v/>
      </c>
      <c r="G34" s="173" t="str">
        <f>IF($B34&gt;Inputs!$G$19,"",LOOKUP($B34,'Cash Flow'!$F$2:$AJ$2,'Cash Flow'!$F$57:$AJ$57)+LOOKUP($B34,'Cash Flow'!$F$2:$AJ$2,'Cash Flow'!$F$58:$AJ$58))</f>
        <v/>
      </c>
      <c r="H34" s="173" t="str">
        <f>IF($B34&gt;Inputs!$G$19,"",SUM(D34:G34))</f>
        <v/>
      </c>
      <c r="I34" s="173" t="str">
        <f>IF($B34&gt;Inputs!$G$19,"",LOOKUP($B34,'Cash Flow'!$F$2:$AJ$2,'Cash Flow'!$F$70:$AJ$70))</f>
        <v/>
      </c>
      <c r="J34" s="173" t="str">
        <f>IF($B34&gt;Inputs!$G$19,"",LOOKUP($B34,'Cash Flow'!$F$2:$AJ$2,'Cash Flow'!$F$71:$AJ$71))</f>
        <v/>
      </c>
      <c r="K34" s="173" t="str">
        <f>IF($B34&gt;Inputs!$G$19,"",LOOKUP($B34,'Cash Flow'!$F$2:$AJ$2,'Cash Flow'!$F$73:$AJ$73)+LOOKUP($B34,'Cash Flow'!$F$2:$AJ$2,'Cash Flow'!$F$75:$AJ$75))</f>
        <v/>
      </c>
      <c r="L34" s="173" t="str">
        <f>IF($B34&gt;Inputs!$G$19,"",LOOKUP($B34,'Cash Flow'!$F$2:$AJ$2,'Cash Flow'!$F$74:$AJ$74)+LOOKUP($B34,'Cash Flow'!$F$2:$AJ$2,'Cash Flow'!$F$76:$AJ$76))</f>
        <v/>
      </c>
      <c r="M34" s="173" t="str">
        <f>IF($B34&gt;Inputs!$G$19,"",H34+K34+L34)</f>
        <v/>
      </c>
      <c r="N34" s="173">
        <f>IF($B34&gt;Inputs!$G$19,N33,N33+M34)</f>
        <v>7128874.030202507</v>
      </c>
      <c r="O34" s="177" t="str">
        <f>IF($B34&gt;Inputs!$G$19,"",LOOKUP($B34,'Cash Flow'!$F$2:$AJ$2,'Cash Flow'!$F$78:$AJ$78))</f>
        <v/>
      </c>
      <c r="P34" s="178" t="str">
        <f>IF($B34&gt;Inputs!$G$19,"",LOOKUP($B34,'Cash Flow'!$F$2:$AJ$2,'Cash Flow'!$F$51:$AJ$51))</f>
        <v/>
      </c>
      <c r="R34" s="392" t="str">
        <f>IF($B34&gt;Inputs!$G$19,"",D34+K34+L34)</f>
        <v/>
      </c>
      <c r="S34" s="393" t="str">
        <f>IF($B34&gt;Inputs!$G$19,"",-(E34+F34+G34))</f>
        <v/>
      </c>
    </row>
    <row r="35" spans="2:19" ht="15">
      <c r="B35" s="181">
        <v>29</v>
      </c>
      <c r="C35" s="176" t="str">
        <f>IF($B35&gt;Inputs!$G$19,"",IF($B35&lt;=Inputs!$Q$13,LOOKUP($B35,'Cash Flow'!$F$2:$AJ$2,'Cash Flow'!$F$21:$AJ$21),LOOKUP($B35,'Cash Flow'!$F$2:$AJ$2,'Cash Flow'!$F$23:$AJ$23)))</f>
        <v/>
      </c>
      <c r="D35" s="173" t="str">
        <f>IF($B35&gt;Inputs!$G$19,"",LOOKUP($B35,'Cash Flow'!$F$2:$AJ$2,'Cash Flow'!$F$31:$AJ$31))</f>
        <v/>
      </c>
      <c r="E35" s="173" t="str">
        <f>IF($B35&gt;Inputs!$G$19,"",LOOKUP($B35,'Cash Flow'!$F$2:$AJ$2,'Cash Flow'!$F$45:$AJ$45))</f>
        <v/>
      </c>
      <c r="F35" s="173" t="str">
        <f>IF($B35&gt;Inputs!$G$19,"",LOOKUP($B35,'Cash Flow'!$F$2:$AJ$2,'Cash Flow'!$F$95:$AJ$95))</f>
        <v/>
      </c>
      <c r="G35" s="173" t="str">
        <f>IF($B35&gt;Inputs!$G$19,"",LOOKUP($B35,'Cash Flow'!$F$2:$AJ$2,'Cash Flow'!$F$57:$AJ$57)+LOOKUP($B35,'Cash Flow'!$F$2:$AJ$2,'Cash Flow'!$F$58:$AJ$58))</f>
        <v/>
      </c>
      <c r="H35" s="173" t="str">
        <f>IF($B35&gt;Inputs!$G$19,"",SUM(D35:G35))</f>
        <v/>
      </c>
      <c r="I35" s="173" t="str">
        <f>IF($B35&gt;Inputs!$G$19,"",LOOKUP($B35,'Cash Flow'!$F$2:$AJ$2,'Cash Flow'!$F$70:$AJ$70))</f>
        <v/>
      </c>
      <c r="J35" s="173" t="str">
        <f>IF($B35&gt;Inputs!$G$19,"",LOOKUP($B35,'Cash Flow'!$F$2:$AJ$2,'Cash Flow'!$F$71:$AJ$71))</f>
        <v/>
      </c>
      <c r="K35" s="173" t="str">
        <f>IF($B35&gt;Inputs!$G$19,"",LOOKUP($B35,'Cash Flow'!$F$2:$AJ$2,'Cash Flow'!$F$73:$AJ$73)+LOOKUP($B35,'Cash Flow'!$F$2:$AJ$2,'Cash Flow'!$F$75:$AJ$75))</f>
        <v/>
      </c>
      <c r="L35" s="173" t="str">
        <f>IF($B35&gt;Inputs!$G$19,"",LOOKUP($B35,'Cash Flow'!$F$2:$AJ$2,'Cash Flow'!$F$74:$AJ$74)+LOOKUP($B35,'Cash Flow'!$F$2:$AJ$2,'Cash Flow'!$F$76:$AJ$76))</f>
        <v/>
      </c>
      <c r="M35" s="173" t="str">
        <f>IF($B35&gt;Inputs!$G$19,"",H35+K35+L35)</f>
        <v/>
      </c>
      <c r="N35" s="173">
        <f>IF($B35&gt;Inputs!$G$19,N34,N34+M35)</f>
        <v>7128874.030202507</v>
      </c>
      <c r="O35" s="177" t="str">
        <f>IF($B35&gt;Inputs!$G$19,"",LOOKUP($B35,'Cash Flow'!$F$2:$AJ$2,'Cash Flow'!$F$78:$AJ$78))</f>
        <v/>
      </c>
      <c r="P35" s="178" t="str">
        <f>IF($B35&gt;Inputs!$G$19,"",LOOKUP($B35,'Cash Flow'!$F$2:$AJ$2,'Cash Flow'!$F$51:$AJ$51))</f>
        <v/>
      </c>
      <c r="R35" s="392" t="str">
        <f>IF($B35&gt;Inputs!$G$19,"",D35+K35+L35)</f>
        <v/>
      </c>
      <c r="S35" s="393" t="str">
        <f>IF($B35&gt;Inputs!$G$19,"",-(E35+F35+G35))</f>
        <v/>
      </c>
    </row>
    <row r="36" spans="2:19" ht="15">
      <c r="B36" s="175">
        <v>30</v>
      </c>
      <c r="C36" s="176" t="str">
        <f>IF($B36&gt;Inputs!$G$19,"",IF($B36&lt;=Inputs!$Q$13,LOOKUP($B36,'Cash Flow'!$F$2:$AJ$2,'Cash Flow'!$F$21:$AJ$21),LOOKUP($B36,'Cash Flow'!$F$2:$AJ$2,'Cash Flow'!$F$23:$AJ$23)))</f>
        <v/>
      </c>
      <c r="D36" s="173" t="str">
        <f>IF($B36&gt;Inputs!$G$19,"",LOOKUP($B36,'Cash Flow'!$F$2:$AJ$2,'Cash Flow'!$F$31:$AJ$31))</f>
        <v/>
      </c>
      <c r="E36" s="173" t="str">
        <f>IF($B36&gt;Inputs!$G$19,"",LOOKUP($B36,'Cash Flow'!$F$2:$AJ$2,'Cash Flow'!$F$45:$AJ$45))</f>
        <v/>
      </c>
      <c r="F36" s="173" t="str">
        <f>IF($B36&gt;Inputs!$G$19,"",LOOKUP($B36,'Cash Flow'!$F$2:$AJ$2,'Cash Flow'!$F$95:$AJ$95))</f>
        <v/>
      </c>
      <c r="G36" s="173" t="str">
        <f>IF($B36&gt;Inputs!$G$19,"",LOOKUP($B36,'Cash Flow'!$F$2:$AJ$2,'Cash Flow'!$F$57:$AJ$57)+LOOKUP($B36,'Cash Flow'!$F$2:$AJ$2,'Cash Flow'!$F$58:$AJ$58))</f>
        <v/>
      </c>
      <c r="H36" s="173" t="str">
        <f>IF($B36&gt;Inputs!$G$19,"",SUM(D36:G36))</f>
        <v/>
      </c>
      <c r="I36" s="173" t="str">
        <f>IF($B36&gt;Inputs!$G$19,"",LOOKUP($B36,'Cash Flow'!$F$2:$AJ$2,'Cash Flow'!$F$70:$AJ$70))</f>
        <v/>
      </c>
      <c r="J36" s="173" t="str">
        <f>IF($B36&gt;Inputs!$G$19,"",LOOKUP($B36,'Cash Flow'!$F$2:$AJ$2,'Cash Flow'!$F$71:$AJ$71))</f>
        <v/>
      </c>
      <c r="K36" s="173" t="str">
        <f>IF($B36&gt;Inputs!$G$19,"",LOOKUP($B36,'Cash Flow'!$F$2:$AJ$2,'Cash Flow'!$F$73:$AJ$73)+LOOKUP($B36,'Cash Flow'!$F$2:$AJ$2,'Cash Flow'!$F$75:$AJ$75))</f>
        <v/>
      </c>
      <c r="L36" s="173" t="str">
        <f>IF($B36&gt;Inputs!$G$19,"",LOOKUP($B36,'Cash Flow'!$F$2:$AJ$2,'Cash Flow'!$F$74:$AJ$74)+LOOKUP($B36,'Cash Flow'!$F$2:$AJ$2,'Cash Flow'!$F$76:$AJ$76))</f>
        <v/>
      </c>
      <c r="M36" s="173" t="str">
        <f>IF($B36&gt;Inputs!$G$19,"",H36+K36+L36)</f>
        <v/>
      </c>
      <c r="N36" s="173">
        <f>IF($B36&gt;Inputs!$G$19,N35,N35+M36)</f>
        <v>7128874.030202507</v>
      </c>
      <c r="O36" s="177" t="str">
        <f>IF($B36&gt;Inputs!$G$19,"",LOOKUP($B36,'Cash Flow'!$F$2:$AJ$2,'Cash Flow'!$F$78:$AJ$78))</f>
        <v/>
      </c>
      <c r="P36" s="178" t="str">
        <f>IF($B36&gt;Inputs!$G$19,"",LOOKUP($B36,'Cash Flow'!$F$2:$AJ$2,'Cash Flow'!$F$51:$AJ$51))</f>
        <v/>
      </c>
      <c r="R36" s="392" t="str">
        <f>IF($B36&gt;Inputs!$G$19,"",D36+K36+L36)</f>
        <v/>
      </c>
      <c r="S36" s="393" t="str">
        <f>IF($B36&gt;Inputs!$G$19,"",-(E36+F36+G36))</f>
        <v/>
      </c>
    </row>
    <row r="37" spans="2:19">
      <c r="B37" s="182"/>
      <c r="C37" s="183"/>
      <c r="D37" s="183"/>
      <c r="E37" s="183"/>
      <c r="F37" s="183"/>
      <c r="G37" s="194"/>
      <c r="H37" s="183"/>
      <c r="I37" s="183"/>
      <c r="J37" s="183"/>
      <c r="K37" s="183"/>
      <c r="L37" s="183"/>
      <c r="M37" s="194"/>
      <c r="N37" s="194"/>
      <c r="O37" s="194"/>
      <c r="P37" s="195"/>
      <c r="R37" s="394"/>
      <c r="S37" s="395"/>
    </row>
    <row r="38" spans="2:19">
      <c r="G38" s="196"/>
      <c r="M38" s="196"/>
      <c r="N38" s="196"/>
      <c r="O38" s="196"/>
      <c r="P38" s="196"/>
    </row>
  </sheetData>
  <mergeCells count="3">
    <mergeCell ref="R4:R5"/>
    <mergeCell ref="S4:S5"/>
    <mergeCell ref="R3:S3"/>
  </mergeCells>
  <conditionalFormatting sqref="N7:N36">
    <cfRule type="expression" dxfId="4" priority="1">
      <formula>$N7=$N6</formula>
    </cfRule>
  </conditionalFormatting>
  <pageMargins left="0.7" right="0.7" top="0.75" bottom="0.75" header="0.3" footer="0.3"/>
  <pageSetup orientation="portrait"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47"/>
  <sheetViews>
    <sheetView showGridLines="0" zoomScale="70" zoomScaleNormal="70" workbookViewId="0">
      <pane xSplit="5" ySplit="2" topLeftCell="F3" activePane="bottomRight" state="frozen"/>
      <selection pane="topRight" activeCell="D1" sqref="D1"/>
      <selection pane="bottomLeft" activeCell="A4" sqref="A4"/>
      <selection pane="bottomRight" activeCell="O41" sqref="O41"/>
    </sheetView>
  </sheetViews>
  <sheetFormatPr baseColWidth="10" defaultColWidth="8.83203125" defaultRowHeight="15"/>
  <cols>
    <col min="1" max="1" width="5.5" style="64" customWidth="1"/>
    <col min="2" max="2" width="56.5" style="64" customWidth="1"/>
    <col min="3" max="5" width="15.33203125" style="64" customWidth="1"/>
    <col min="6" max="36" width="18.1640625" style="64" customWidth="1"/>
    <col min="37" max="228" width="9.1640625" style="64"/>
    <col min="229" max="229" width="5.5" style="64" customWidth="1"/>
    <col min="230" max="230" width="56.5" style="64" customWidth="1"/>
    <col min="231" max="231" width="15.33203125" style="64" customWidth="1"/>
    <col min="232" max="232" width="15.83203125" style="64" customWidth="1"/>
    <col min="233" max="233" width="15.1640625" style="64" customWidth="1"/>
    <col min="234" max="292" width="13.6640625" style="64" customWidth="1"/>
    <col min="293" max="484" width="9.1640625" style="64"/>
    <col min="485" max="485" width="5.5" style="64" customWidth="1"/>
    <col min="486" max="486" width="56.5" style="64" customWidth="1"/>
    <col min="487" max="487" width="15.33203125" style="64" customWidth="1"/>
    <col min="488" max="488" width="15.83203125" style="64" customWidth="1"/>
    <col min="489" max="489" width="15.1640625" style="64" customWidth="1"/>
    <col min="490" max="548" width="13.6640625" style="64" customWidth="1"/>
    <col min="549" max="740" width="9.1640625" style="64"/>
    <col min="741" max="741" width="5.5" style="64" customWidth="1"/>
    <col min="742" max="742" width="56.5" style="64" customWidth="1"/>
    <col min="743" max="743" width="15.33203125" style="64" customWidth="1"/>
    <col min="744" max="744" width="15.83203125" style="64" customWidth="1"/>
    <col min="745" max="745" width="15.1640625" style="64" customWidth="1"/>
    <col min="746" max="804" width="13.6640625" style="64" customWidth="1"/>
    <col min="805" max="996" width="9.1640625" style="64"/>
    <col min="997" max="997" width="5.5" style="64" customWidth="1"/>
    <col min="998" max="998" width="56.5" style="64" customWidth="1"/>
    <col min="999" max="999" width="15.33203125" style="64" customWidth="1"/>
    <col min="1000" max="1000" width="15.83203125" style="64" customWidth="1"/>
    <col min="1001" max="1001" width="15.1640625" style="64" customWidth="1"/>
    <col min="1002" max="1060" width="13.6640625" style="64" customWidth="1"/>
    <col min="1061" max="1252" width="9.1640625" style="64"/>
    <col min="1253" max="1253" width="5.5" style="64" customWidth="1"/>
    <col min="1254" max="1254" width="56.5" style="64" customWidth="1"/>
    <col min="1255" max="1255" width="15.33203125" style="64" customWidth="1"/>
    <col min="1256" max="1256" width="15.83203125" style="64" customWidth="1"/>
    <col min="1257" max="1257" width="15.1640625" style="64" customWidth="1"/>
    <col min="1258" max="1316" width="13.6640625" style="64" customWidth="1"/>
    <col min="1317" max="1508" width="9.1640625" style="64"/>
    <col min="1509" max="1509" width="5.5" style="64" customWidth="1"/>
    <col min="1510" max="1510" width="56.5" style="64" customWidth="1"/>
    <col min="1511" max="1511" width="15.33203125" style="64" customWidth="1"/>
    <col min="1512" max="1512" width="15.83203125" style="64" customWidth="1"/>
    <col min="1513" max="1513" width="15.1640625" style="64" customWidth="1"/>
    <col min="1514" max="1572" width="13.6640625" style="64" customWidth="1"/>
    <col min="1573" max="1764" width="9.1640625" style="64"/>
    <col min="1765" max="1765" width="5.5" style="64" customWidth="1"/>
    <col min="1766" max="1766" width="56.5" style="64" customWidth="1"/>
    <col min="1767" max="1767" width="15.33203125" style="64" customWidth="1"/>
    <col min="1768" max="1768" width="15.83203125" style="64" customWidth="1"/>
    <col min="1769" max="1769" width="15.1640625" style="64" customWidth="1"/>
    <col min="1770" max="1828" width="13.6640625" style="64" customWidth="1"/>
    <col min="1829" max="2020" width="9.1640625" style="64"/>
    <col min="2021" max="2021" width="5.5" style="64" customWidth="1"/>
    <col min="2022" max="2022" width="56.5" style="64" customWidth="1"/>
    <col min="2023" max="2023" width="15.33203125" style="64" customWidth="1"/>
    <col min="2024" max="2024" width="15.83203125" style="64" customWidth="1"/>
    <col min="2025" max="2025" width="15.1640625" style="64" customWidth="1"/>
    <col min="2026" max="2084" width="13.6640625" style="64" customWidth="1"/>
    <col min="2085" max="2276" width="9.1640625" style="64"/>
    <col min="2277" max="2277" width="5.5" style="64" customWidth="1"/>
    <col min="2278" max="2278" width="56.5" style="64" customWidth="1"/>
    <col min="2279" max="2279" width="15.33203125" style="64" customWidth="1"/>
    <col min="2280" max="2280" width="15.83203125" style="64" customWidth="1"/>
    <col min="2281" max="2281" width="15.1640625" style="64" customWidth="1"/>
    <col min="2282" max="2340" width="13.6640625" style="64" customWidth="1"/>
    <col min="2341" max="2532" width="9.1640625" style="64"/>
    <col min="2533" max="2533" width="5.5" style="64" customWidth="1"/>
    <col min="2534" max="2534" width="56.5" style="64" customWidth="1"/>
    <col min="2535" max="2535" width="15.33203125" style="64" customWidth="1"/>
    <col min="2536" max="2536" width="15.83203125" style="64" customWidth="1"/>
    <col min="2537" max="2537" width="15.1640625" style="64" customWidth="1"/>
    <col min="2538" max="2596" width="13.6640625" style="64" customWidth="1"/>
    <col min="2597" max="2788" width="9.1640625" style="64"/>
    <col min="2789" max="2789" width="5.5" style="64" customWidth="1"/>
    <col min="2790" max="2790" width="56.5" style="64" customWidth="1"/>
    <col min="2791" max="2791" width="15.33203125" style="64" customWidth="1"/>
    <col min="2792" max="2792" width="15.83203125" style="64" customWidth="1"/>
    <col min="2793" max="2793" width="15.1640625" style="64" customWidth="1"/>
    <col min="2794" max="2852" width="13.6640625" style="64" customWidth="1"/>
    <col min="2853" max="3044" width="9.1640625" style="64"/>
    <col min="3045" max="3045" width="5.5" style="64" customWidth="1"/>
    <col min="3046" max="3046" width="56.5" style="64" customWidth="1"/>
    <col min="3047" max="3047" width="15.33203125" style="64" customWidth="1"/>
    <col min="3048" max="3048" width="15.83203125" style="64" customWidth="1"/>
    <col min="3049" max="3049" width="15.1640625" style="64" customWidth="1"/>
    <col min="3050" max="3108" width="13.6640625" style="64" customWidth="1"/>
    <col min="3109" max="3300" width="9.1640625" style="64"/>
    <col min="3301" max="3301" width="5.5" style="64" customWidth="1"/>
    <col min="3302" max="3302" width="56.5" style="64" customWidth="1"/>
    <col min="3303" max="3303" width="15.33203125" style="64" customWidth="1"/>
    <col min="3304" max="3304" width="15.83203125" style="64" customWidth="1"/>
    <col min="3305" max="3305" width="15.1640625" style="64" customWidth="1"/>
    <col min="3306" max="3364" width="13.6640625" style="64" customWidth="1"/>
    <col min="3365" max="3556" width="9.1640625" style="64"/>
    <col min="3557" max="3557" width="5.5" style="64" customWidth="1"/>
    <col min="3558" max="3558" width="56.5" style="64" customWidth="1"/>
    <col min="3559" max="3559" width="15.33203125" style="64" customWidth="1"/>
    <col min="3560" max="3560" width="15.83203125" style="64" customWidth="1"/>
    <col min="3561" max="3561" width="15.1640625" style="64" customWidth="1"/>
    <col min="3562" max="3620" width="13.6640625" style="64" customWidth="1"/>
    <col min="3621" max="3812" width="9.1640625" style="64"/>
    <col min="3813" max="3813" width="5.5" style="64" customWidth="1"/>
    <col min="3814" max="3814" width="56.5" style="64" customWidth="1"/>
    <col min="3815" max="3815" width="15.33203125" style="64" customWidth="1"/>
    <col min="3816" max="3816" width="15.83203125" style="64" customWidth="1"/>
    <col min="3817" max="3817" width="15.1640625" style="64" customWidth="1"/>
    <col min="3818" max="3876" width="13.6640625" style="64" customWidth="1"/>
    <col min="3877" max="4068" width="9.1640625" style="64"/>
    <col min="4069" max="4069" width="5.5" style="64" customWidth="1"/>
    <col min="4070" max="4070" width="56.5" style="64" customWidth="1"/>
    <col min="4071" max="4071" width="15.33203125" style="64" customWidth="1"/>
    <col min="4072" max="4072" width="15.83203125" style="64" customWidth="1"/>
    <col min="4073" max="4073" width="15.1640625" style="64" customWidth="1"/>
    <col min="4074" max="4132" width="13.6640625" style="64" customWidth="1"/>
    <col min="4133" max="4324" width="9.1640625" style="64"/>
    <col min="4325" max="4325" width="5.5" style="64" customWidth="1"/>
    <col min="4326" max="4326" width="56.5" style="64" customWidth="1"/>
    <col min="4327" max="4327" width="15.33203125" style="64" customWidth="1"/>
    <col min="4328" max="4328" width="15.83203125" style="64" customWidth="1"/>
    <col min="4329" max="4329" width="15.1640625" style="64" customWidth="1"/>
    <col min="4330" max="4388" width="13.6640625" style="64" customWidth="1"/>
    <col min="4389" max="4580" width="9.1640625" style="64"/>
    <col min="4581" max="4581" width="5.5" style="64" customWidth="1"/>
    <col min="4582" max="4582" width="56.5" style="64" customWidth="1"/>
    <col min="4583" max="4583" width="15.33203125" style="64" customWidth="1"/>
    <col min="4584" max="4584" width="15.83203125" style="64" customWidth="1"/>
    <col min="4585" max="4585" width="15.1640625" style="64" customWidth="1"/>
    <col min="4586" max="4644" width="13.6640625" style="64" customWidth="1"/>
    <col min="4645" max="4836" width="9.1640625" style="64"/>
    <col min="4837" max="4837" width="5.5" style="64" customWidth="1"/>
    <col min="4838" max="4838" width="56.5" style="64" customWidth="1"/>
    <col min="4839" max="4839" width="15.33203125" style="64" customWidth="1"/>
    <col min="4840" max="4840" width="15.83203125" style="64" customWidth="1"/>
    <col min="4841" max="4841" width="15.1640625" style="64" customWidth="1"/>
    <col min="4842" max="4900" width="13.6640625" style="64" customWidth="1"/>
    <col min="4901" max="5092" width="9.1640625" style="64"/>
    <col min="5093" max="5093" width="5.5" style="64" customWidth="1"/>
    <col min="5094" max="5094" width="56.5" style="64" customWidth="1"/>
    <col min="5095" max="5095" width="15.33203125" style="64" customWidth="1"/>
    <col min="5096" max="5096" width="15.83203125" style="64" customWidth="1"/>
    <col min="5097" max="5097" width="15.1640625" style="64" customWidth="1"/>
    <col min="5098" max="5156" width="13.6640625" style="64" customWidth="1"/>
    <col min="5157" max="5348" width="9.1640625" style="64"/>
    <col min="5349" max="5349" width="5.5" style="64" customWidth="1"/>
    <col min="5350" max="5350" width="56.5" style="64" customWidth="1"/>
    <col min="5351" max="5351" width="15.33203125" style="64" customWidth="1"/>
    <col min="5352" max="5352" width="15.83203125" style="64" customWidth="1"/>
    <col min="5353" max="5353" width="15.1640625" style="64" customWidth="1"/>
    <col min="5354" max="5412" width="13.6640625" style="64" customWidth="1"/>
    <col min="5413" max="5604" width="9.1640625" style="64"/>
    <col min="5605" max="5605" width="5.5" style="64" customWidth="1"/>
    <col min="5606" max="5606" width="56.5" style="64" customWidth="1"/>
    <col min="5607" max="5607" width="15.33203125" style="64" customWidth="1"/>
    <col min="5608" max="5608" width="15.83203125" style="64" customWidth="1"/>
    <col min="5609" max="5609" width="15.1640625" style="64" customWidth="1"/>
    <col min="5610" max="5668" width="13.6640625" style="64" customWidth="1"/>
    <col min="5669" max="5860" width="9.1640625" style="64"/>
    <col min="5861" max="5861" width="5.5" style="64" customWidth="1"/>
    <col min="5862" max="5862" width="56.5" style="64" customWidth="1"/>
    <col min="5863" max="5863" width="15.33203125" style="64" customWidth="1"/>
    <col min="5864" max="5864" width="15.83203125" style="64" customWidth="1"/>
    <col min="5865" max="5865" width="15.1640625" style="64" customWidth="1"/>
    <col min="5866" max="5924" width="13.6640625" style="64" customWidth="1"/>
    <col min="5925" max="6116" width="9.1640625" style="64"/>
    <col min="6117" max="6117" width="5.5" style="64" customWidth="1"/>
    <col min="6118" max="6118" width="56.5" style="64" customWidth="1"/>
    <col min="6119" max="6119" width="15.33203125" style="64" customWidth="1"/>
    <col min="6120" max="6120" width="15.83203125" style="64" customWidth="1"/>
    <col min="6121" max="6121" width="15.1640625" style="64" customWidth="1"/>
    <col min="6122" max="6180" width="13.6640625" style="64" customWidth="1"/>
    <col min="6181" max="6372" width="9.1640625" style="64"/>
    <col min="6373" max="6373" width="5.5" style="64" customWidth="1"/>
    <col min="6374" max="6374" width="56.5" style="64" customWidth="1"/>
    <col min="6375" max="6375" width="15.33203125" style="64" customWidth="1"/>
    <col min="6376" max="6376" width="15.83203125" style="64" customWidth="1"/>
    <col min="6377" max="6377" width="15.1640625" style="64" customWidth="1"/>
    <col min="6378" max="6436" width="13.6640625" style="64" customWidth="1"/>
    <col min="6437" max="6628" width="9.1640625" style="64"/>
    <col min="6629" max="6629" width="5.5" style="64" customWidth="1"/>
    <col min="6630" max="6630" width="56.5" style="64" customWidth="1"/>
    <col min="6631" max="6631" width="15.33203125" style="64" customWidth="1"/>
    <col min="6632" max="6632" width="15.83203125" style="64" customWidth="1"/>
    <col min="6633" max="6633" width="15.1640625" style="64" customWidth="1"/>
    <col min="6634" max="6692" width="13.6640625" style="64" customWidth="1"/>
    <col min="6693" max="6884" width="9.1640625" style="64"/>
    <col min="6885" max="6885" width="5.5" style="64" customWidth="1"/>
    <col min="6886" max="6886" width="56.5" style="64" customWidth="1"/>
    <col min="6887" max="6887" width="15.33203125" style="64" customWidth="1"/>
    <col min="6888" max="6888" width="15.83203125" style="64" customWidth="1"/>
    <col min="6889" max="6889" width="15.1640625" style="64" customWidth="1"/>
    <col min="6890" max="6948" width="13.6640625" style="64" customWidth="1"/>
    <col min="6949" max="7140" width="9.1640625" style="64"/>
    <col min="7141" max="7141" width="5.5" style="64" customWidth="1"/>
    <col min="7142" max="7142" width="56.5" style="64" customWidth="1"/>
    <col min="7143" max="7143" width="15.33203125" style="64" customWidth="1"/>
    <col min="7144" max="7144" width="15.83203125" style="64" customWidth="1"/>
    <col min="7145" max="7145" width="15.1640625" style="64" customWidth="1"/>
    <col min="7146" max="7204" width="13.6640625" style="64" customWidth="1"/>
    <col min="7205" max="7396" width="9.1640625" style="64"/>
    <col min="7397" max="7397" width="5.5" style="64" customWidth="1"/>
    <col min="7398" max="7398" width="56.5" style="64" customWidth="1"/>
    <col min="7399" max="7399" width="15.33203125" style="64" customWidth="1"/>
    <col min="7400" max="7400" width="15.83203125" style="64" customWidth="1"/>
    <col min="7401" max="7401" width="15.1640625" style="64" customWidth="1"/>
    <col min="7402" max="7460" width="13.6640625" style="64" customWidth="1"/>
    <col min="7461" max="7652" width="9.1640625" style="64"/>
    <col min="7653" max="7653" width="5.5" style="64" customWidth="1"/>
    <col min="7654" max="7654" width="56.5" style="64" customWidth="1"/>
    <col min="7655" max="7655" width="15.33203125" style="64" customWidth="1"/>
    <col min="7656" max="7656" width="15.83203125" style="64" customWidth="1"/>
    <col min="7657" max="7657" width="15.1640625" style="64" customWidth="1"/>
    <col min="7658" max="7716" width="13.6640625" style="64" customWidth="1"/>
    <col min="7717" max="7908" width="9.1640625" style="64"/>
    <col min="7909" max="7909" width="5.5" style="64" customWidth="1"/>
    <col min="7910" max="7910" width="56.5" style="64" customWidth="1"/>
    <col min="7911" max="7911" width="15.33203125" style="64" customWidth="1"/>
    <col min="7912" max="7912" width="15.83203125" style="64" customWidth="1"/>
    <col min="7913" max="7913" width="15.1640625" style="64" customWidth="1"/>
    <col min="7914" max="7972" width="13.6640625" style="64" customWidth="1"/>
    <col min="7973" max="8164" width="9.1640625" style="64"/>
    <col min="8165" max="8165" width="5.5" style="64" customWidth="1"/>
    <col min="8166" max="8166" width="56.5" style="64" customWidth="1"/>
    <col min="8167" max="8167" width="15.33203125" style="64" customWidth="1"/>
    <col min="8168" max="8168" width="15.83203125" style="64" customWidth="1"/>
    <col min="8169" max="8169" width="15.1640625" style="64" customWidth="1"/>
    <col min="8170" max="8228" width="13.6640625" style="64" customWidth="1"/>
    <col min="8229" max="8420" width="9.1640625" style="64"/>
    <col min="8421" max="8421" width="5.5" style="64" customWidth="1"/>
    <col min="8422" max="8422" width="56.5" style="64" customWidth="1"/>
    <col min="8423" max="8423" width="15.33203125" style="64" customWidth="1"/>
    <col min="8424" max="8424" width="15.83203125" style="64" customWidth="1"/>
    <col min="8425" max="8425" width="15.1640625" style="64" customWidth="1"/>
    <col min="8426" max="8484" width="13.6640625" style="64" customWidth="1"/>
    <col min="8485" max="8676" width="9.1640625" style="64"/>
    <col min="8677" max="8677" width="5.5" style="64" customWidth="1"/>
    <col min="8678" max="8678" width="56.5" style="64" customWidth="1"/>
    <col min="8679" max="8679" width="15.33203125" style="64" customWidth="1"/>
    <col min="8680" max="8680" width="15.83203125" style="64" customWidth="1"/>
    <col min="8681" max="8681" width="15.1640625" style="64" customWidth="1"/>
    <col min="8682" max="8740" width="13.6640625" style="64" customWidth="1"/>
    <col min="8741" max="8932" width="9.1640625" style="64"/>
    <col min="8933" max="8933" width="5.5" style="64" customWidth="1"/>
    <col min="8934" max="8934" width="56.5" style="64" customWidth="1"/>
    <col min="8935" max="8935" width="15.33203125" style="64" customWidth="1"/>
    <col min="8936" max="8936" width="15.83203125" style="64" customWidth="1"/>
    <col min="8937" max="8937" width="15.1640625" style="64" customWidth="1"/>
    <col min="8938" max="8996" width="13.6640625" style="64" customWidth="1"/>
    <col min="8997" max="9188" width="9.1640625" style="64"/>
    <col min="9189" max="9189" width="5.5" style="64" customWidth="1"/>
    <col min="9190" max="9190" width="56.5" style="64" customWidth="1"/>
    <col min="9191" max="9191" width="15.33203125" style="64" customWidth="1"/>
    <col min="9192" max="9192" width="15.83203125" style="64" customWidth="1"/>
    <col min="9193" max="9193" width="15.1640625" style="64" customWidth="1"/>
    <col min="9194" max="9252" width="13.6640625" style="64" customWidth="1"/>
    <col min="9253" max="9444" width="9.1640625" style="64"/>
    <col min="9445" max="9445" width="5.5" style="64" customWidth="1"/>
    <col min="9446" max="9446" width="56.5" style="64" customWidth="1"/>
    <col min="9447" max="9447" width="15.33203125" style="64" customWidth="1"/>
    <col min="9448" max="9448" width="15.83203125" style="64" customWidth="1"/>
    <col min="9449" max="9449" width="15.1640625" style="64" customWidth="1"/>
    <col min="9450" max="9508" width="13.6640625" style="64" customWidth="1"/>
    <col min="9509" max="9700" width="9.1640625" style="64"/>
    <col min="9701" max="9701" width="5.5" style="64" customWidth="1"/>
    <col min="9702" max="9702" width="56.5" style="64" customWidth="1"/>
    <col min="9703" max="9703" width="15.33203125" style="64" customWidth="1"/>
    <col min="9704" max="9704" width="15.83203125" style="64" customWidth="1"/>
    <col min="9705" max="9705" width="15.1640625" style="64" customWidth="1"/>
    <col min="9706" max="9764" width="13.6640625" style="64" customWidth="1"/>
    <col min="9765" max="9956" width="9.1640625" style="64"/>
    <col min="9957" max="9957" width="5.5" style="64" customWidth="1"/>
    <col min="9958" max="9958" width="56.5" style="64" customWidth="1"/>
    <col min="9959" max="9959" width="15.33203125" style="64" customWidth="1"/>
    <col min="9960" max="9960" width="15.83203125" style="64" customWidth="1"/>
    <col min="9961" max="9961" width="15.1640625" style="64" customWidth="1"/>
    <col min="9962" max="10020" width="13.6640625" style="64" customWidth="1"/>
    <col min="10021" max="10212" width="9.1640625" style="64"/>
    <col min="10213" max="10213" width="5.5" style="64" customWidth="1"/>
    <col min="10214" max="10214" width="56.5" style="64" customWidth="1"/>
    <col min="10215" max="10215" width="15.33203125" style="64" customWidth="1"/>
    <col min="10216" max="10216" width="15.83203125" style="64" customWidth="1"/>
    <col min="10217" max="10217" width="15.1640625" style="64" customWidth="1"/>
    <col min="10218" max="10276" width="13.6640625" style="64" customWidth="1"/>
    <col min="10277" max="10468" width="9.1640625" style="64"/>
    <col min="10469" max="10469" width="5.5" style="64" customWidth="1"/>
    <col min="10470" max="10470" width="56.5" style="64" customWidth="1"/>
    <col min="10471" max="10471" width="15.33203125" style="64" customWidth="1"/>
    <col min="10472" max="10472" width="15.83203125" style="64" customWidth="1"/>
    <col min="10473" max="10473" width="15.1640625" style="64" customWidth="1"/>
    <col min="10474" max="10532" width="13.6640625" style="64" customWidth="1"/>
    <col min="10533" max="10724" width="9.1640625" style="64"/>
    <col min="10725" max="10725" width="5.5" style="64" customWidth="1"/>
    <col min="10726" max="10726" width="56.5" style="64" customWidth="1"/>
    <col min="10727" max="10727" width="15.33203125" style="64" customWidth="1"/>
    <col min="10728" max="10728" width="15.83203125" style="64" customWidth="1"/>
    <col min="10729" max="10729" width="15.1640625" style="64" customWidth="1"/>
    <col min="10730" max="10788" width="13.6640625" style="64" customWidth="1"/>
    <col min="10789" max="10980" width="9.1640625" style="64"/>
    <col min="10981" max="10981" width="5.5" style="64" customWidth="1"/>
    <col min="10982" max="10982" width="56.5" style="64" customWidth="1"/>
    <col min="10983" max="10983" width="15.33203125" style="64" customWidth="1"/>
    <col min="10984" max="10984" width="15.83203125" style="64" customWidth="1"/>
    <col min="10985" max="10985" width="15.1640625" style="64" customWidth="1"/>
    <col min="10986" max="11044" width="13.6640625" style="64" customWidth="1"/>
    <col min="11045" max="11236" width="9.1640625" style="64"/>
    <col min="11237" max="11237" width="5.5" style="64" customWidth="1"/>
    <col min="11238" max="11238" width="56.5" style="64" customWidth="1"/>
    <col min="11239" max="11239" width="15.33203125" style="64" customWidth="1"/>
    <col min="11240" max="11240" width="15.83203125" style="64" customWidth="1"/>
    <col min="11241" max="11241" width="15.1640625" style="64" customWidth="1"/>
    <col min="11242" max="11300" width="13.6640625" style="64" customWidth="1"/>
    <col min="11301" max="11492" width="9.1640625" style="64"/>
    <col min="11493" max="11493" width="5.5" style="64" customWidth="1"/>
    <col min="11494" max="11494" width="56.5" style="64" customWidth="1"/>
    <col min="11495" max="11495" width="15.33203125" style="64" customWidth="1"/>
    <col min="11496" max="11496" width="15.83203125" style="64" customWidth="1"/>
    <col min="11497" max="11497" width="15.1640625" style="64" customWidth="1"/>
    <col min="11498" max="11556" width="13.6640625" style="64" customWidth="1"/>
    <col min="11557" max="11748" width="9.1640625" style="64"/>
    <col min="11749" max="11749" width="5.5" style="64" customWidth="1"/>
    <col min="11750" max="11750" width="56.5" style="64" customWidth="1"/>
    <col min="11751" max="11751" width="15.33203125" style="64" customWidth="1"/>
    <col min="11752" max="11752" width="15.83203125" style="64" customWidth="1"/>
    <col min="11753" max="11753" width="15.1640625" style="64" customWidth="1"/>
    <col min="11754" max="11812" width="13.6640625" style="64" customWidth="1"/>
    <col min="11813" max="12004" width="9.1640625" style="64"/>
    <col min="12005" max="12005" width="5.5" style="64" customWidth="1"/>
    <col min="12006" max="12006" width="56.5" style="64" customWidth="1"/>
    <col min="12007" max="12007" width="15.33203125" style="64" customWidth="1"/>
    <col min="12008" max="12008" width="15.83203125" style="64" customWidth="1"/>
    <col min="12009" max="12009" width="15.1640625" style="64" customWidth="1"/>
    <col min="12010" max="12068" width="13.6640625" style="64" customWidth="1"/>
    <col min="12069" max="12260" width="9.1640625" style="64"/>
    <col min="12261" max="12261" width="5.5" style="64" customWidth="1"/>
    <col min="12262" max="12262" width="56.5" style="64" customWidth="1"/>
    <col min="12263" max="12263" width="15.33203125" style="64" customWidth="1"/>
    <col min="12264" max="12264" width="15.83203125" style="64" customWidth="1"/>
    <col min="12265" max="12265" width="15.1640625" style="64" customWidth="1"/>
    <col min="12266" max="12324" width="13.6640625" style="64" customWidth="1"/>
    <col min="12325" max="12516" width="9.1640625" style="64"/>
    <col min="12517" max="12517" width="5.5" style="64" customWidth="1"/>
    <col min="12518" max="12518" width="56.5" style="64" customWidth="1"/>
    <col min="12519" max="12519" width="15.33203125" style="64" customWidth="1"/>
    <col min="12520" max="12520" width="15.83203125" style="64" customWidth="1"/>
    <col min="12521" max="12521" width="15.1640625" style="64" customWidth="1"/>
    <col min="12522" max="12580" width="13.6640625" style="64" customWidth="1"/>
    <col min="12581" max="12772" width="9.1640625" style="64"/>
    <col min="12773" max="12773" width="5.5" style="64" customWidth="1"/>
    <col min="12774" max="12774" width="56.5" style="64" customWidth="1"/>
    <col min="12775" max="12775" width="15.33203125" style="64" customWidth="1"/>
    <col min="12776" max="12776" width="15.83203125" style="64" customWidth="1"/>
    <col min="12777" max="12777" width="15.1640625" style="64" customWidth="1"/>
    <col min="12778" max="12836" width="13.6640625" style="64" customWidth="1"/>
    <col min="12837" max="13028" width="9.1640625" style="64"/>
    <col min="13029" max="13029" width="5.5" style="64" customWidth="1"/>
    <col min="13030" max="13030" width="56.5" style="64" customWidth="1"/>
    <col min="13031" max="13031" width="15.33203125" style="64" customWidth="1"/>
    <col min="13032" max="13032" width="15.83203125" style="64" customWidth="1"/>
    <col min="13033" max="13033" width="15.1640625" style="64" customWidth="1"/>
    <col min="13034" max="13092" width="13.6640625" style="64" customWidth="1"/>
    <col min="13093" max="13284" width="9.1640625" style="64"/>
    <col min="13285" max="13285" width="5.5" style="64" customWidth="1"/>
    <col min="13286" max="13286" width="56.5" style="64" customWidth="1"/>
    <col min="13287" max="13287" width="15.33203125" style="64" customWidth="1"/>
    <col min="13288" max="13288" width="15.83203125" style="64" customWidth="1"/>
    <col min="13289" max="13289" width="15.1640625" style="64" customWidth="1"/>
    <col min="13290" max="13348" width="13.6640625" style="64" customWidth="1"/>
    <col min="13349" max="13540" width="9.1640625" style="64"/>
    <col min="13541" max="13541" width="5.5" style="64" customWidth="1"/>
    <col min="13542" max="13542" width="56.5" style="64" customWidth="1"/>
    <col min="13543" max="13543" width="15.33203125" style="64" customWidth="1"/>
    <col min="13544" max="13544" width="15.83203125" style="64" customWidth="1"/>
    <col min="13545" max="13545" width="15.1640625" style="64" customWidth="1"/>
    <col min="13546" max="13604" width="13.6640625" style="64" customWidth="1"/>
    <col min="13605" max="13796" width="9.1640625" style="64"/>
    <col min="13797" max="13797" width="5.5" style="64" customWidth="1"/>
    <col min="13798" max="13798" width="56.5" style="64" customWidth="1"/>
    <col min="13799" max="13799" width="15.33203125" style="64" customWidth="1"/>
    <col min="13800" max="13800" width="15.83203125" style="64" customWidth="1"/>
    <col min="13801" max="13801" width="15.1640625" style="64" customWidth="1"/>
    <col min="13802" max="13860" width="13.6640625" style="64" customWidth="1"/>
    <col min="13861" max="14052" width="9.1640625" style="64"/>
    <col min="14053" max="14053" width="5.5" style="64" customWidth="1"/>
    <col min="14054" max="14054" width="56.5" style="64" customWidth="1"/>
    <col min="14055" max="14055" width="15.33203125" style="64" customWidth="1"/>
    <col min="14056" max="14056" width="15.83203125" style="64" customWidth="1"/>
    <col min="14057" max="14057" width="15.1640625" style="64" customWidth="1"/>
    <col min="14058" max="14116" width="13.6640625" style="64" customWidth="1"/>
    <col min="14117" max="14308" width="9.1640625" style="64"/>
    <col min="14309" max="14309" width="5.5" style="64" customWidth="1"/>
    <col min="14310" max="14310" width="56.5" style="64" customWidth="1"/>
    <col min="14311" max="14311" width="15.33203125" style="64" customWidth="1"/>
    <col min="14312" max="14312" width="15.83203125" style="64" customWidth="1"/>
    <col min="14313" max="14313" width="15.1640625" style="64" customWidth="1"/>
    <col min="14314" max="14372" width="13.6640625" style="64" customWidth="1"/>
    <col min="14373" max="14564" width="9.1640625" style="64"/>
    <col min="14565" max="14565" width="5.5" style="64" customWidth="1"/>
    <col min="14566" max="14566" width="56.5" style="64" customWidth="1"/>
    <col min="14567" max="14567" width="15.33203125" style="64" customWidth="1"/>
    <col min="14568" max="14568" width="15.83203125" style="64" customWidth="1"/>
    <col min="14569" max="14569" width="15.1640625" style="64" customWidth="1"/>
    <col min="14570" max="14628" width="13.6640625" style="64" customWidth="1"/>
    <col min="14629" max="14820" width="9.1640625" style="64"/>
    <col min="14821" max="14821" width="5.5" style="64" customWidth="1"/>
    <col min="14822" max="14822" width="56.5" style="64" customWidth="1"/>
    <col min="14823" max="14823" width="15.33203125" style="64" customWidth="1"/>
    <col min="14824" max="14824" width="15.83203125" style="64" customWidth="1"/>
    <col min="14825" max="14825" width="15.1640625" style="64" customWidth="1"/>
    <col min="14826" max="14884" width="13.6640625" style="64" customWidth="1"/>
    <col min="14885" max="15076" width="9.1640625" style="64"/>
    <col min="15077" max="15077" width="5.5" style="64" customWidth="1"/>
    <col min="15078" max="15078" width="56.5" style="64" customWidth="1"/>
    <col min="15079" max="15079" width="15.33203125" style="64" customWidth="1"/>
    <col min="15080" max="15080" width="15.83203125" style="64" customWidth="1"/>
    <col min="15081" max="15081" width="15.1640625" style="64" customWidth="1"/>
    <col min="15082" max="15140" width="13.6640625" style="64" customWidth="1"/>
    <col min="15141" max="15332" width="9.1640625" style="64"/>
    <col min="15333" max="15333" width="5.5" style="64" customWidth="1"/>
    <col min="15334" max="15334" width="56.5" style="64" customWidth="1"/>
    <col min="15335" max="15335" width="15.33203125" style="64" customWidth="1"/>
    <col min="15336" max="15336" width="15.83203125" style="64" customWidth="1"/>
    <col min="15337" max="15337" width="15.1640625" style="64" customWidth="1"/>
    <col min="15338" max="15396" width="13.6640625" style="64" customWidth="1"/>
    <col min="15397" max="15588" width="9.1640625" style="64"/>
    <col min="15589" max="15589" width="5.5" style="64" customWidth="1"/>
    <col min="15590" max="15590" width="56.5" style="64" customWidth="1"/>
    <col min="15591" max="15591" width="15.33203125" style="64" customWidth="1"/>
    <col min="15592" max="15592" width="15.83203125" style="64" customWidth="1"/>
    <col min="15593" max="15593" width="15.1640625" style="64" customWidth="1"/>
    <col min="15594" max="15652" width="13.6640625" style="64" customWidth="1"/>
    <col min="15653" max="15844" width="9.1640625" style="64"/>
    <col min="15845" max="15845" width="5.5" style="64" customWidth="1"/>
    <col min="15846" max="15846" width="56.5" style="64" customWidth="1"/>
    <col min="15847" max="15847" width="15.33203125" style="64" customWidth="1"/>
    <col min="15848" max="15848" width="15.83203125" style="64" customWidth="1"/>
    <col min="15849" max="15849" width="15.1640625" style="64" customWidth="1"/>
    <col min="15850" max="15908" width="13.6640625" style="64" customWidth="1"/>
    <col min="15909" max="16100" width="9.1640625" style="64"/>
    <col min="16101" max="16101" width="5.5" style="64" customWidth="1"/>
    <col min="16102" max="16102" width="56.5" style="64" customWidth="1"/>
    <col min="16103" max="16103" width="15.33203125" style="64" customWidth="1"/>
    <col min="16104" max="16104" width="15.83203125" style="64" customWidth="1"/>
    <col min="16105" max="16105" width="15.1640625" style="64" customWidth="1"/>
    <col min="16106" max="16164" width="13.6640625" style="64" customWidth="1"/>
    <col min="16165" max="16384" width="9.1640625" style="64"/>
  </cols>
  <sheetData>
    <row r="1" spans="2:36" ht="16">
      <c r="F1" s="30" t="s">
        <v>64</v>
      </c>
    </row>
    <row r="2" spans="2:36" s="29" customFormat="1" ht="16">
      <c r="B2" s="31" t="s">
        <v>122</v>
      </c>
      <c r="C2" s="31"/>
      <c r="D2" s="31"/>
      <c r="E2" s="253" t="s">
        <v>61</v>
      </c>
      <c r="F2" s="32">
        <v>0</v>
      </c>
      <c r="G2" s="32">
        <v>1</v>
      </c>
      <c r="H2" s="32">
        <v>2</v>
      </c>
      <c r="I2" s="32">
        <v>3</v>
      </c>
      <c r="J2" s="32">
        <v>4</v>
      </c>
      <c r="K2" s="32">
        <v>5</v>
      </c>
      <c r="L2" s="32">
        <v>6</v>
      </c>
      <c r="M2" s="32">
        <v>7</v>
      </c>
      <c r="N2" s="32">
        <v>8</v>
      </c>
      <c r="O2" s="32">
        <v>9</v>
      </c>
      <c r="P2" s="32">
        <v>10</v>
      </c>
      <c r="Q2" s="32">
        <v>11</v>
      </c>
      <c r="R2" s="32">
        <v>12</v>
      </c>
      <c r="S2" s="32">
        <v>13</v>
      </c>
      <c r="T2" s="32">
        <v>14</v>
      </c>
      <c r="U2" s="32">
        <v>15</v>
      </c>
      <c r="V2" s="32">
        <v>16</v>
      </c>
      <c r="W2" s="32">
        <v>17</v>
      </c>
      <c r="X2" s="32">
        <v>18</v>
      </c>
      <c r="Y2" s="32">
        <v>19</v>
      </c>
      <c r="Z2" s="32">
        <v>20</v>
      </c>
      <c r="AA2" s="32">
        <v>21</v>
      </c>
      <c r="AB2" s="32">
        <v>22</v>
      </c>
      <c r="AC2" s="32">
        <v>23</v>
      </c>
      <c r="AD2" s="32">
        <v>24</v>
      </c>
      <c r="AE2" s="32">
        <v>25</v>
      </c>
      <c r="AF2" s="32">
        <v>26</v>
      </c>
      <c r="AG2" s="32">
        <v>27</v>
      </c>
      <c r="AH2" s="32">
        <v>28</v>
      </c>
      <c r="AI2" s="32">
        <v>29</v>
      </c>
      <c r="AJ2" s="32">
        <v>30</v>
      </c>
    </row>
    <row r="3" spans="2:36" s="29" customFormat="1" ht="16"/>
    <row r="4" spans="2:36" s="29" customFormat="1" ht="16">
      <c r="B4" s="29" t="s">
        <v>459</v>
      </c>
      <c r="E4" s="79" t="s">
        <v>1</v>
      </c>
      <c r="G4" s="757"/>
      <c r="H4" s="757">
        <f>G6</f>
        <v>0.48</v>
      </c>
      <c r="I4" s="757">
        <f t="shared" ref="I4:AJ4" si="0">H6</f>
        <v>0.47039999999999998</v>
      </c>
      <c r="J4" s="757">
        <f t="shared" si="0"/>
        <v>0.46099199999999996</v>
      </c>
      <c r="K4" s="757">
        <f t="shared" si="0"/>
        <v>0.45177215999999992</v>
      </c>
      <c r="L4" s="757">
        <f t="shared" si="0"/>
        <v>0.49694937599999994</v>
      </c>
      <c r="M4" s="757">
        <f t="shared" si="0"/>
        <v>0.48701038847999994</v>
      </c>
      <c r="N4" s="757">
        <f t="shared" si="0"/>
        <v>0.47727018071039995</v>
      </c>
      <c r="O4" s="757">
        <f t="shared" si="0"/>
        <v>0.46772477709619192</v>
      </c>
      <c r="P4" s="757">
        <f t="shared" si="0"/>
        <v>0.45837028155426807</v>
      </c>
      <c r="Q4" s="757">
        <f t="shared" si="0"/>
        <v>0.50420730970969496</v>
      </c>
      <c r="R4" s="757">
        <f t="shared" si="0"/>
        <v>0.49412316351550106</v>
      </c>
      <c r="S4" s="757">
        <f t="shared" si="0"/>
        <v>0.48424070024519106</v>
      </c>
      <c r="T4" s="757">
        <f t="shared" si="0"/>
        <v>0.47455588624028722</v>
      </c>
      <c r="U4" s="757">
        <f t="shared" si="0"/>
        <v>0.46506476851548145</v>
      </c>
      <c r="V4" s="757">
        <f t="shared" si="0"/>
        <v>0.51157124536702969</v>
      </c>
      <c r="W4" s="757">
        <f t="shared" si="0"/>
        <v>0.50133982045968906</v>
      </c>
      <c r="X4" s="757">
        <f t="shared" si="0"/>
        <v>0.49131302405049526</v>
      </c>
      <c r="Y4" s="757">
        <f t="shared" si="0"/>
        <v>0.48148676356948533</v>
      </c>
      <c r="Z4" s="757">
        <f t="shared" si="0"/>
        <v>0.47185702829809562</v>
      </c>
      <c r="AA4" s="757">
        <f t="shared" si="0"/>
        <v>0.51904273112790522</v>
      </c>
      <c r="AB4" s="757">
        <f t="shared" si="0"/>
        <v>0.50866187650534711</v>
      </c>
      <c r="AC4" s="757">
        <f t="shared" si="0"/>
        <v>0.49848863897524015</v>
      </c>
      <c r="AD4" s="757">
        <f t="shared" si="0"/>
        <v>0.48851886619573531</v>
      </c>
      <c r="AE4" s="757">
        <f t="shared" si="0"/>
        <v>0.47874848887182059</v>
      </c>
      <c r="AF4" s="757">
        <f t="shared" si="0"/>
        <v>0.46917351909438415</v>
      </c>
      <c r="AG4" s="757">
        <f t="shared" si="0"/>
        <v>0.45979004871249646</v>
      </c>
      <c r="AH4" s="757">
        <f t="shared" si="0"/>
        <v>0.45059424773824652</v>
      </c>
      <c r="AI4" s="757">
        <f t="shared" si="0"/>
        <v>0.44158236278348156</v>
      </c>
      <c r="AJ4" s="757">
        <f t="shared" si="0"/>
        <v>0.43275071552781191</v>
      </c>
    </row>
    <row r="5" spans="2:36" s="29" customFormat="1" ht="16">
      <c r="B5" s="29" t="s">
        <v>466</v>
      </c>
      <c r="E5" s="79" t="s">
        <v>1</v>
      </c>
      <c r="G5" s="757"/>
      <c r="H5" s="750">
        <f>IF(OR(H$2=Inputs!$Q$55,H$2=Inputs!$Q$57,H$2=Inputs!$Q$59,H$2=Inputs!$Q$61),Inputs!$Q$63,-Inputs!$G$17)</f>
        <v>-0.02</v>
      </c>
      <c r="I5" s="750">
        <f>IF(OR(I$2=Inputs!$Q$55,I$2=Inputs!$Q$57,I$2=Inputs!$Q$59,I$2=Inputs!$Q$61),Inputs!$Q$63,-Inputs!$G$17)</f>
        <v>-0.02</v>
      </c>
      <c r="J5" s="750">
        <f>IF(OR(J$2=Inputs!$Q$55,J$2=Inputs!$Q$57,J$2=Inputs!$Q$59,J$2=Inputs!$Q$61),Inputs!$Q$63,-Inputs!$G$17)</f>
        <v>-0.02</v>
      </c>
      <c r="K5" s="750">
        <f>IF(OR(K$2=Inputs!$Q$55,K$2=Inputs!$Q$57,K$2=Inputs!$Q$59,K$2=Inputs!$Q$61),Inputs!$Q$63,-Inputs!$G$17)</f>
        <v>0.1</v>
      </c>
      <c r="L5" s="750">
        <f>IF(OR(L$2=Inputs!$Q$55,L$2=Inputs!$Q$57,L$2=Inputs!$Q$59,L$2=Inputs!$Q$61),Inputs!$Q$63,-Inputs!$G$17)</f>
        <v>-0.02</v>
      </c>
      <c r="M5" s="750">
        <f>IF(OR(M$2=Inputs!$Q$55,M$2=Inputs!$Q$57,M$2=Inputs!$Q$59,M$2=Inputs!$Q$61),Inputs!$Q$63,-Inputs!$G$17)</f>
        <v>-0.02</v>
      </c>
      <c r="N5" s="750">
        <f>IF(OR(N$2=Inputs!$Q$55,N$2=Inputs!$Q$57,N$2=Inputs!$Q$59,N$2=Inputs!$Q$61),Inputs!$Q$63,-Inputs!$G$17)</f>
        <v>-0.02</v>
      </c>
      <c r="O5" s="750">
        <f>IF(OR(O$2=Inputs!$Q$55,O$2=Inputs!$Q$57,O$2=Inputs!$Q$59,O$2=Inputs!$Q$61),Inputs!$Q$63,-Inputs!$G$17)</f>
        <v>-0.02</v>
      </c>
      <c r="P5" s="750">
        <f>IF(OR(P$2=Inputs!$Q$55,P$2=Inputs!$Q$57,P$2=Inputs!$Q$59,P$2=Inputs!$Q$61),Inputs!$Q$63,-Inputs!$G$17)</f>
        <v>0.1</v>
      </c>
      <c r="Q5" s="750">
        <f>IF(OR(Q$2=Inputs!$Q$55,Q$2=Inputs!$Q$57,Q$2=Inputs!$Q$59,Q$2=Inputs!$Q$61),Inputs!$Q$63,-Inputs!$G$17)</f>
        <v>-0.02</v>
      </c>
      <c r="R5" s="750">
        <f>IF(OR(R$2=Inputs!$Q$55,R$2=Inputs!$Q$57,R$2=Inputs!$Q$59,R$2=Inputs!$Q$61),Inputs!$Q$63,-Inputs!$G$17)</f>
        <v>-0.02</v>
      </c>
      <c r="S5" s="750">
        <f>IF(OR(S$2=Inputs!$Q$55,S$2=Inputs!$Q$57,S$2=Inputs!$Q$59,S$2=Inputs!$Q$61),Inputs!$Q$63,-Inputs!$G$17)</f>
        <v>-0.02</v>
      </c>
      <c r="T5" s="750">
        <f>IF(OR(T$2=Inputs!$Q$55,T$2=Inputs!$Q$57,T$2=Inputs!$Q$59,T$2=Inputs!$Q$61),Inputs!$Q$63,-Inputs!$G$17)</f>
        <v>-0.02</v>
      </c>
      <c r="U5" s="750">
        <f>IF(OR(U$2=Inputs!$Q$55,U$2=Inputs!$Q$57,U$2=Inputs!$Q$59,U$2=Inputs!$Q$61),Inputs!$Q$63,-Inputs!$G$17)</f>
        <v>0.1</v>
      </c>
      <c r="V5" s="750">
        <f>IF(OR(V$2=Inputs!$Q$55,V$2=Inputs!$Q$57,V$2=Inputs!$Q$59,V$2=Inputs!$Q$61),Inputs!$Q$63,-Inputs!$G$17)</f>
        <v>-0.02</v>
      </c>
      <c r="W5" s="750">
        <f>IF(OR(W$2=Inputs!$Q$55,W$2=Inputs!$Q$57,W$2=Inputs!$Q$59,W$2=Inputs!$Q$61),Inputs!$Q$63,-Inputs!$G$17)</f>
        <v>-0.02</v>
      </c>
      <c r="X5" s="750">
        <f>IF(OR(X$2=Inputs!$Q$55,X$2=Inputs!$Q$57,X$2=Inputs!$Q$59,X$2=Inputs!$Q$61),Inputs!$Q$63,-Inputs!$G$17)</f>
        <v>-0.02</v>
      </c>
      <c r="Y5" s="750">
        <f>IF(OR(Y$2=Inputs!$Q$55,Y$2=Inputs!$Q$57,Y$2=Inputs!$Q$59,Y$2=Inputs!$Q$61),Inputs!$Q$63,-Inputs!$G$17)</f>
        <v>-0.02</v>
      </c>
      <c r="Z5" s="750">
        <f>IF(OR(Z$2=Inputs!$Q$55,Z$2=Inputs!$Q$57,Z$2=Inputs!$Q$59,Z$2=Inputs!$Q$61),Inputs!$Q$63,-Inputs!$G$17)</f>
        <v>0.1</v>
      </c>
      <c r="AA5" s="750">
        <f>IF(OR(AA$2=Inputs!$Q$55,AA$2=Inputs!$Q$57,AA$2=Inputs!$Q$59,AA$2=Inputs!$Q$61),Inputs!$Q$63,-Inputs!$G$17)</f>
        <v>-0.02</v>
      </c>
      <c r="AB5" s="750">
        <f>IF(OR(AB$2=Inputs!$Q$55,AB$2=Inputs!$Q$57,AB$2=Inputs!$Q$59,AB$2=Inputs!$Q$61),Inputs!$Q$63,-Inputs!$G$17)</f>
        <v>-0.02</v>
      </c>
      <c r="AC5" s="750">
        <f>IF(OR(AC$2=Inputs!$Q$55,AC$2=Inputs!$Q$57,AC$2=Inputs!$Q$59,AC$2=Inputs!$Q$61),Inputs!$Q$63,-Inputs!$G$17)</f>
        <v>-0.02</v>
      </c>
      <c r="AD5" s="750">
        <f>IF(OR(AD$2=Inputs!$Q$55,AD$2=Inputs!$Q$57,AD$2=Inputs!$Q$59,AD$2=Inputs!$Q$61),Inputs!$Q$63,-Inputs!$G$17)</f>
        <v>-0.02</v>
      </c>
      <c r="AE5" s="750">
        <f>IF(OR(AE$2=Inputs!$Q$55,AE$2=Inputs!$Q$57,AE$2=Inputs!$Q$59,AE$2=Inputs!$Q$61),Inputs!$Q$63,-Inputs!$G$17)</f>
        <v>-0.02</v>
      </c>
      <c r="AF5" s="750">
        <f>IF(OR(AF$2=Inputs!$Q$55,AF$2=Inputs!$Q$57,AF$2=Inputs!$Q$59,AF$2=Inputs!$Q$61),Inputs!$Q$63,-Inputs!$G$17)</f>
        <v>-0.02</v>
      </c>
      <c r="AG5" s="750">
        <f>IF(OR(AG$2=Inputs!$Q$55,AG$2=Inputs!$Q$57,AG$2=Inputs!$Q$59,AG$2=Inputs!$Q$61),Inputs!$Q$63,-Inputs!$G$17)</f>
        <v>-0.02</v>
      </c>
      <c r="AH5" s="750">
        <f>IF(OR(AH$2=Inputs!$Q$55,AH$2=Inputs!$Q$57,AH$2=Inputs!$Q$59,AH$2=Inputs!$Q$61),Inputs!$Q$63,-Inputs!$G$17)</f>
        <v>-0.02</v>
      </c>
      <c r="AI5" s="750">
        <f>IF(OR(AI$2=Inputs!$Q$55,AI$2=Inputs!$Q$57,AI$2=Inputs!$Q$59,AI$2=Inputs!$Q$61),Inputs!$Q$63,-Inputs!$G$17)</f>
        <v>-0.02</v>
      </c>
      <c r="AJ5" s="750">
        <f>IF(OR(AJ$2=Inputs!$Q$55,AJ$2=Inputs!$Q$57,AJ$2=Inputs!$Q$59,AJ$2=Inputs!$Q$61),Inputs!$Q$63,-Inputs!$G$17)</f>
        <v>-0.02</v>
      </c>
    </row>
    <row r="6" spans="2:36" s="29" customFormat="1" ht="16">
      <c r="B6" s="29" t="s">
        <v>460</v>
      </c>
      <c r="E6" s="79" t="s">
        <v>1</v>
      </c>
      <c r="G6" s="757">
        <f>Inputs!$G$10</f>
        <v>0.48</v>
      </c>
      <c r="H6" s="757">
        <f>H4*(1+H5)</f>
        <v>0.47039999999999998</v>
      </c>
      <c r="I6" s="757">
        <f t="shared" ref="I6:AJ6" si="1">I4*(1+I5)</f>
        <v>0.46099199999999996</v>
      </c>
      <c r="J6" s="757">
        <f t="shared" si="1"/>
        <v>0.45177215999999992</v>
      </c>
      <c r="K6" s="757">
        <f t="shared" si="1"/>
        <v>0.49694937599999994</v>
      </c>
      <c r="L6" s="757">
        <f t="shared" si="1"/>
        <v>0.48701038847999994</v>
      </c>
      <c r="M6" s="757">
        <f t="shared" si="1"/>
        <v>0.47727018071039995</v>
      </c>
      <c r="N6" s="757">
        <f t="shared" si="1"/>
        <v>0.46772477709619192</v>
      </c>
      <c r="O6" s="757">
        <f t="shared" si="1"/>
        <v>0.45837028155426807</v>
      </c>
      <c r="P6" s="757">
        <f t="shared" si="1"/>
        <v>0.50420730970969496</v>
      </c>
      <c r="Q6" s="757">
        <f t="shared" si="1"/>
        <v>0.49412316351550106</v>
      </c>
      <c r="R6" s="757">
        <f t="shared" si="1"/>
        <v>0.48424070024519106</v>
      </c>
      <c r="S6" s="757">
        <f t="shared" si="1"/>
        <v>0.47455588624028722</v>
      </c>
      <c r="T6" s="757">
        <f t="shared" si="1"/>
        <v>0.46506476851548145</v>
      </c>
      <c r="U6" s="757">
        <f t="shared" si="1"/>
        <v>0.51157124536702969</v>
      </c>
      <c r="V6" s="757">
        <f t="shared" si="1"/>
        <v>0.50133982045968906</v>
      </c>
      <c r="W6" s="757">
        <f t="shared" si="1"/>
        <v>0.49131302405049526</v>
      </c>
      <c r="X6" s="757">
        <f t="shared" si="1"/>
        <v>0.48148676356948533</v>
      </c>
      <c r="Y6" s="757">
        <f t="shared" si="1"/>
        <v>0.47185702829809562</v>
      </c>
      <c r="Z6" s="757">
        <f t="shared" si="1"/>
        <v>0.51904273112790522</v>
      </c>
      <c r="AA6" s="757">
        <f t="shared" si="1"/>
        <v>0.50866187650534711</v>
      </c>
      <c r="AB6" s="757">
        <f t="shared" si="1"/>
        <v>0.49848863897524015</v>
      </c>
      <c r="AC6" s="757">
        <f t="shared" si="1"/>
        <v>0.48851886619573531</v>
      </c>
      <c r="AD6" s="757">
        <f t="shared" si="1"/>
        <v>0.47874848887182059</v>
      </c>
      <c r="AE6" s="757">
        <f t="shared" si="1"/>
        <v>0.46917351909438415</v>
      </c>
      <c r="AF6" s="757">
        <f t="shared" si="1"/>
        <v>0.45979004871249646</v>
      </c>
      <c r="AG6" s="757">
        <f t="shared" si="1"/>
        <v>0.45059424773824652</v>
      </c>
      <c r="AH6" s="757">
        <f t="shared" si="1"/>
        <v>0.44158236278348156</v>
      </c>
      <c r="AI6" s="757">
        <f t="shared" si="1"/>
        <v>0.43275071552781191</v>
      </c>
      <c r="AJ6" s="757">
        <f t="shared" si="1"/>
        <v>0.42409570121725565</v>
      </c>
    </row>
    <row r="7" spans="2:36" s="29" customFormat="1" ht="16">
      <c r="B7" s="29" t="s">
        <v>461</v>
      </c>
      <c r="E7" s="79" t="s">
        <v>425</v>
      </c>
      <c r="G7" s="35">
        <f>Inputs!$G$11</f>
        <v>7108.3333333333339</v>
      </c>
      <c r="H7" s="35">
        <f>IF(H2&gt;Inputs!$G$19,0,3412/H6)</f>
        <v>7253.4013605442178</v>
      </c>
      <c r="I7" s="35">
        <f>IF(I2&gt;Inputs!$G$19,0,3412/I6)</f>
        <v>7401.4299597389981</v>
      </c>
      <c r="J7" s="35">
        <f>IF(J2&gt;Inputs!$G$19,0,3412/J6)</f>
        <v>7552.4795507540803</v>
      </c>
      <c r="K7" s="35">
        <f>IF(K2&gt;Inputs!$G$19,0,3412/K6)</f>
        <v>6865.8905006855275</v>
      </c>
      <c r="L7" s="35">
        <f>IF(L2&gt;Inputs!$G$19,0,3412/L6)</f>
        <v>7006.010714985232</v>
      </c>
      <c r="M7" s="35">
        <f>IF(M2&gt;Inputs!$G$19,0,3412/M6)</f>
        <v>7148.9905254951345</v>
      </c>
      <c r="N7" s="35">
        <f>IF(N2&gt;Inputs!$G$19,0,3412/N6)</f>
        <v>7294.8882913215666</v>
      </c>
      <c r="O7" s="35">
        <f>IF(O2&gt;Inputs!$G$19,0,3412/O6)</f>
        <v>7443.7635625730272</v>
      </c>
      <c r="P7" s="35">
        <f>IF(P2&gt;Inputs!$G$19,0,3412/P6)</f>
        <v>6767.0577841572958</v>
      </c>
      <c r="Q7" s="35">
        <f>IF(Q2&gt;Inputs!$G$19,0,3412/Q6)</f>
        <v>6905.1610042421389</v>
      </c>
      <c r="R7" s="35">
        <f>IF(R2&gt;Inputs!$G$19,0,3412/R6)</f>
        <v>7046.0826573899376</v>
      </c>
      <c r="S7" s="35">
        <f>IF(S2&gt;Inputs!$G$19,0,3412/S6)</f>
        <v>7189.8802626427942</v>
      </c>
      <c r="T7" s="35">
        <f>IF(T2&gt;Inputs!$G$19,0,3412/T6)</f>
        <v>7336.6125129008105</v>
      </c>
      <c r="U7" s="35">
        <f>IF(U2&gt;Inputs!$G$19,0,3412/U6)</f>
        <v>6669.6477390007358</v>
      </c>
      <c r="V7" s="35">
        <f>IF(V2&gt;Inputs!$G$19,0,3412/V6)</f>
        <v>6805.7629989803427</v>
      </c>
      <c r="W7" s="35">
        <f>IF(W2&gt;Inputs!$G$19,0,3412/W6)</f>
        <v>6944.6561214085132</v>
      </c>
      <c r="X7" s="35">
        <f>IF(X2&gt;Inputs!$G$19,0,3412/X6)</f>
        <v>7086.3837973556265</v>
      </c>
      <c r="Y7" s="35">
        <f>IF(Y2&gt;Inputs!$G$19,0,3412/Y6)</f>
        <v>7231.0038748526795</v>
      </c>
      <c r="Z7" s="35">
        <f>IF(Z2&gt;Inputs!$G$19,0,3412/Z6)</f>
        <v>6573.6398862297083</v>
      </c>
      <c r="AA7" s="35">
        <f>IF(AA2&gt;Inputs!$G$19,0,3412/AA6)</f>
        <v>0</v>
      </c>
      <c r="AB7" s="35">
        <f>IF(AB2&gt;Inputs!$G$19,0,3412/AB6)</f>
        <v>0</v>
      </c>
      <c r="AC7" s="35">
        <f>IF(AC2&gt;Inputs!$G$19,0,3412/AC6)</f>
        <v>0</v>
      </c>
      <c r="AD7" s="35">
        <f>IF(AD2&gt;Inputs!$G$19,0,3412/AD6)</f>
        <v>0</v>
      </c>
      <c r="AE7" s="35">
        <f>IF(AE2&gt;Inputs!$G$19,0,3412/AE6)</f>
        <v>0</v>
      </c>
      <c r="AF7" s="35">
        <f>IF(AF2&gt;Inputs!$G$19,0,3412/AF6)</f>
        <v>0</v>
      </c>
      <c r="AG7" s="35">
        <f>IF(AG2&gt;Inputs!$G$19,0,3412/AG6)</f>
        <v>0</v>
      </c>
      <c r="AH7" s="35">
        <f>IF(AH2&gt;Inputs!$G$19,0,3412/AH6)</f>
        <v>0</v>
      </c>
      <c r="AI7" s="35">
        <f>IF(AI2&gt;Inputs!$G$19,0,3412/AI6)</f>
        <v>0</v>
      </c>
      <c r="AJ7" s="35">
        <f>IF(AJ2&gt;Inputs!$G$19,0,3412/AJ6)</f>
        <v>0</v>
      </c>
    </row>
    <row r="8" spans="2:36" s="29" customFormat="1" ht="16">
      <c r="B8" s="29" t="s">
        <v>462</v>
      </c>
      <c r="E8" s="79" t="s">
        <v>463</v>
      </c>
      <c r="G8" s="35">
        <f>IF(G$2&gt;Inputs!$G$19,0,(Inputs!$G$9*G7)/Inputs!$G$12*24*365)</f>
        <v>227281850</v>
      </c>
      <c r="H8" s="35">
        <f>IF(H$2&gt;Inputs!$G$19,0,(Inputs!$G$9*H7)/Inputs!$G$12*24*365)</f>
        <v>231920255.10204083</v>
      </c>
      <c r="I8" s="35">
        <f>IF(I$2&gt;Inputs!$G$19,0,(Inputs!$G$9*I7)/Inputs!$G$12*24*365)</f>
        <v>236653321.53269476</v>
      </c>
      <c r="J8" s="35">
        <f>IF(J$2&gt;Inputs!$G$19,0,(Inputs!$G$9*J7)/Inputs!$G$12*24*365)</f>
        <v>241482981.15581095</v>
      </c>
      <c r="K8" s="35">
        <f>IF(K$2&gt;Inputs!$G$19,0,(Inputs!$G$9*K7)/Inputs!$G$12*24*365)</f>
        <v>219529982.86891907</v>
      </c>
      <c r="L8" s="35">
        <f>IF(L$2&gt;Inputs!$G$19,0,(Inputs!$G$9*L7)/Inputs!$G$12*24*365)</f>
        <v>224010186.60093778</v>
      </c>
      <c r="M8" s="35">
        <f>IF(M$2&gt;Inputs!$G$19,0,(Inputs!$G$9*M7)/Inputs!$G$12*24*365)</f>
        <v>228581823.06218144</v>
      </c>
      <c r="N8" s="35">
        <f>IF(N$2&gt;Inputs!$G$19,0,(Inputs!$G$9*N7)/Inputs!$G$12*24*365)</f>
        <v>233246758.22671574</v>
      </c>
      <c r="O8" s="35">
        <f>IF(O$2&gt;Inputs!$G$19,0,(Inputs!$G$9*O7)/Inputs!$G$12*24*365)</f>
        <v>238006896.14970997</v>
      </c>
      <c r="P8" s="35">
        <f>IF(P$2&gt;Inputs!$G$19,0,(Inputs!$G$9*P7)/Inputs!$G$12*24*365)</f>
        <v>216369905.59064537</v>
      </c>
      <c r="Q8" s="35">
        <f>IF(Q$2&gt;Inputs!$G$19,0,(Inputs!$G$9*Q7)/Inputs!$G$12*24*365)</f>
        <v>220785617.94963816</v>
      </c>
      <c r="R8" s="35">
        <f>IF(R$2&gt;Inputs!$G$19,0,(Inputs!$G$9*R7)/Inputs!$G$12*24*365)</f>
        <v>225291446.88738587</v>
      </c>
      <c r="S8" s="35">
        <f>IF(S$2&gt;Inputs!$G$19,0,(Inputs!$G$9*S7)/Inputs!$G$12*24*365)</f>
        <v>229889231.5177407</v>
      </c>
      <c r="T8" s="35">
        <f>IF(T$2&gt;Inputs!$G$19,0,(Inputs!$G$9*T7)/Inputs!$G$12*24*365)</f>
        <v>234580848.48749053</v>
      </c>
      <c r="U8" s="35">
        <f>IF(U$2&gt;Inputs!$G$19,0,(Inputs!$G$9*U7)/Inputs!$G$12*24*365)</f>
        <v>213255316.80680954</v>
      </c>
      <c r="V8" s="35">
        <f>IF(V$2&gt;Inputs!$G$19,0,(Inputs!$G$9*V7)/Inputs!$G$12*24*365)</f>
        <v>217607466.12939748</v>
      </c>
      <c r="W8" s="35">
        <f>IF(W$2&gt;Inputs!$G$19,0,(Inputs!$G$9*W7)/Inputs!$G$12*24*365)</f>
        <v>222048434.82591575</v>
      </c>
      <c r="X8" s="35">
        <f>IF(X$2&gt;Inputs!$G$19,0,(Inputs!$G$9*X7)/Inputs!$G$12*24*365)</f>
        <v>226580035.53664881</v>
      </c>
      <c r="Y8" s="35">
        <f>IF(Y$2&gt;Inputs!$G$19,0,(Inputs!$G$9*Y7)/Inputs!$G$12*24*365)</f>
        <v>231204117.89453956</v>
      </c>
      <c r="Z8" s="35">
        <f>IF(Z$2&gt;Inputs!$G$19,0,(Inputs!$G$9*Z7)/Inputs!$G$12*24*365)</f>
        <v>210185561.72230873</v>
      </c>
      <c r="AA8" s="35">
        <f>IF(AA$2&gt;Inputs!$G$19,0,(Inputs!$G$9*AA7)/Inputs!$G$12*24*365)</f>
        <v>0</v>
      </c>
      <c r="AB8" s="35">
        <f>IF(AB$2&gt;Inputs!$G$19,0,(Inputs!$G$9*AB7)/Inputs!$G$12*24*365)</f>
        <v>0</v>
      </c>
      <c r="AC8" s="35">
        <f>IF(AC$2&gt;Inputs!$G$19,0,(Inputs!$G$9*AC7)/Inputs!$G$12*24*365)</f>
        <v>0</v>
      </c>
      <c r="AD8" s="35">
        <f>IF(AD$2&gt;Inputs!$G$19,0,(Inputs!$G$9*AD7)/Inputs!$G$12*24*365)</f>
        <v>0</v>
      </c>
      <c r="AE8" s="35">
        <f>IF(AE$2&gt;Inputs!$G$19,0,(Inputs!$G$9*AE7)/Inputs!$G$12*24*365)</f>
        <v>0</v>
      </c>
      <c r="AF8" s="35">
        <f>IF(AF$2&gt;Inputs!$G$19,0,(Inputs!$G$9*AF7)/Inputs!$G$12*24*365)</f>
        <v>0</v>
      </c>
      <c r="AG8" s="35">
        <f>IF(AG$2&gt;Inputs!$G$19,0,(Inputs!$G$9*AG7)/Inputs!$G$12*24*365)</f>
        <v>0</v>
      </c>
      <c r="AH8" s="35">
        <f>IF(AH$2&gt;Inputs!$G$19,0,(Inputs!$G$9*AH7)/Inputs!$G$12*24*365)</f>
        <v>0</v>
      </c>
      <c r="AI8" s="35">
        <f>IF(AI$2&gt;Inputs!$G$19,0,(Inputs!$G$9*AI7)/Inputs!$G$12*24*365)</f>
        <v>0</v>
      </c>
      <c r="AJ8" s="35">
        <f>IF(AJ$2&gt;Inputs!$G$19,0,(Inputs!$G$9*AJ7)/Inputs!$G$12*24*365)</f>
        <v>0</v>
      </c>
    </row>
    <row r="9" spans="2:36" s="29" customFormat="1" ht="16">
      <c r="B9" s="29" t="s">
        <v>427</v>
      </c>
      <c r="E9" s="79" t="s">
        <v>423</v>
      </c>
      <c r="G9" s="35">
        <f>(Inputs!$G$12/1000000)*'Cash Flow'!G8</f>
        <v>227281.85</v>
      </c>
      <c r="H9" s="35">
        <f>(Inputs!$G$12/1000000)*'Cash Flow'!H8</f>
        <v>231920.25510204083</v>
      </c>
      <c r="I9" s="35">
        <f>(Inputs!$G$12/1000000)*'Cash Flow'!I8</f>
        <v>236653.32153269477</v>
      </c>
      <c r="J9" s="35">
        <f>(Inputs!$G$12/1000000)*'Cash Flow'!J8</f>
        <v>241482.98115581096</v>
      </c>
      <c r="K9" s="35">
        <f>(Inputs!$G$12/1000000)*'Cash Flow'!K8</f>
        <v>219529.98286891909</v>
      </c>
      <c r="L9" s="35">
        <f>(Inputs!$G$12/1000000)*'Cash Flow'!L8</f>
        <v>224010.1866009378</v>
      </c>
      <c r="M9" s="35">
        <f>(Inputs!$G$12/1000000)*'Cash Flow'!M8</f>
        <v>228581.82306218144</v>
      </c>
      <c r="N9" s="35">
        <f>(Inputs!$G$12/1000000)*'Cash Flow'!N8</f>
        <v>233246.75822671576</v>
      </c>
      <c r="O9" s="35">
        <f>(Inputs!$G$12/1000000)*'Cash Flow'!O8</f>
        <v>238006.89614970997</v>
      </c>
      <c r="P9" s="35">
        <f>(Inputs!$G$12/1000000)*'Cash Flow'!P8</f>
        <v>216369.90559064539</v>
      </c>
      <c r="Q9" s="35">
        <f>(Inputs!$G$12/1000000)*'Cash Flow'!Q8</f>
        <v>220785.61794963817</v>
      </c>
      <c r="R9" s="35">
        <f>(Inputs!$G$12/1000000)*'Cash Flow'!R8</f>
        <v>225291.44688738589</v>
      </c>
      <c r="S9" s="35">
        <f>(Inputs!$G$12/1000000)*'Cash Flow'!S8</f>
        <v>229889.2315177407</v>
      </c>
      <c r="T9" s="35">
        <f>(Inputs!$G$12/1000000)*'Cash Flow'!T8</f>
        <v>234580.84848749053</v>
      </c>
      <c r="U9" s="35">
        <f>(Inputs!$G$12/1000000)*'Cash Flow'!U8</f>
        <v>213255.31680680954</v>
      </c>
      <c r="V9" s="35">
        <f>(Inputs!$G$12/1000000)*'Cash Flow'!V8</f>
        <v>217607.46612939748</v>
      </c>
      <c r="W9" s="35">
        <f>(Inputs!$G$12/1000000)*'Cash Flow'!W8</f>
        <v>222048.43482591576</v>
      </c>
      <c r="X9" s="35">
        <f>(Inputs!$G$12/1000000)*'Cash Flow'!X8</f>
        <v>226580.03553664882</v>
      </c>
      <c r="Y9" s="35">
        <f>(Inputs!$G$12/1000000)*'Cash Flow'!Y8</f>
        <v>231204.11789453958</v>
      </c>
      <c r="Z9" s="35">
        <f>(Inputs!$G$12/1000000)*'Cash Flow'!Z8</f>
        <v>210185.56172230872</v>
      </c>
      <c r="AA9" s="35">
        <f>(Inputs!$G$12/1000000)*'Cash Flow'!AA8</f>
        <v>0</v>
      </c>
      <c r="AB9" s="35">
        <f>(Inputs!$G$12/1000000)*'Cash Flow'!AB8</f>
        <v>0</v>
      </c>
      <c r="AC9" s="35">
        <f>(Inputs!$G$12/1000000)*'Cash Flow'!AC8</f>
        <v>0</v>
      </c>
      <c r="AD9" s="35">
        <f>(Inputs!$G$12/1000000)*'Cash Flow'!AD8</f>
        <v>0</v>
      </c>
      <c r="AE9" s="35">
        <f>(Inputs!$G$12/1000000)*'Cash Flow'!AE8</f>
        <v>0</v>
      </c>
      <c r="AF9" s="35">
        <f>(Inputs!$G$12/1000000)*'Cash Flow'!AF8</f>
        <v>0</v>
      </c>
      <c r="AG9" s="35">
        <f>(Inputs!$G$12/1000000)*'Cash Flow'!AG8</f>
        <v>0</v>
      </c>
      <c r="AH9" s="35">
        <f>(Inputs!$G$12/1000000)*'Cash Flow'!AH8</f>
        <v>0</v>
      </c>
      <c r="AI9" s="35">
        <f>(Inputs!$G$12/1000000)*'Cash Flow'!AI8</f>
        <v>0</v>
      </c>
      <c r="AJ9" s="35">
        <f>(Inputs!$G$12/1000000)*'Cash Flow'!AJ8</f>
        <v>0</v>
      </c>
    </row>
    <row r="10" spans="2:36" s="29" customFormat="1" ht="16">
      <c r="B10" s="34" t="s">
        <v>439</v>
      </c>
      <c r="C10" s="34"/>
      <c r="D10" s="34"/>
      <c r="E10" s="79" t="s">
        <v>2</v>
      </c>
      <c r="G10" s="35">
        <f>IF(G$2&gt;Inputs!$G$19,0,((1/(G7/1000000))*G9)*Inputs!$G$14*(1-Inputs!$G$15))</f>
        <v>25898940</v>
      </c>
      <c r="H10" s="35">
        <f>IF(H$2&gt;Inputs!$G$19,0,((1/(H7/1000000))*H9)*Inputs!$G$14*(1-Inputs!$G$15))</f>
        <v>25898940</v>
      </c>
      <c r="I10" s="35">
        <f>IF(I$2&gt;Inputs!$G$19,0,((1/(I7/1000000))*I9)*Inputs!$G$14*(1-Inputs!$G$15))</f>
        <v>25898940.000000004</v>
      </c>
      <c r="J10" s="35">
        <f>IF(J$2&gt;Inputs!$G$19,0,((1/(J7/1000000))*J9)*Inputs!$G$14*(1-Inputs!$G$15))</f>
        <v>25898939.999999996</v>
      </c>
      <c r="K10" s="35">
        <f>IF(K$2&gt;Inputs!$G$19,0,((1/(K7/1000000))*K9)*Inputs!$G$14*(1-Inputs!$G$15))</f>
        <v>25898940.000000004</v>
      </c>
      <c r="L10" s="35">
        <f>IF(L$2&gt;Inputs!$G$19,0,((1/(L7/1000000))*L9)*Inputs!$G$14*(1-Inputs!$G$15))</f>
        <v>25898940</v>
      </c>
      <c r="M10" s="35">
        <f>IF(M$2&gt;Inputs!$G$19,0,((1/(M7/1000000))*M9)*Inputs!$G$14*(1-Inputs!$G$15))</f>
        <v>25898940.000000004</v>
      </c>
      <c r="N10" s="35">
        <f>IF(N$2&gt;Inputs!$G$19,0,((1/(N7/1000000))*N9)*Inputs!$G$14*(1-Inputs!$G$15))</f>
        <v>25898940</v>
      </c>
      <c r="O10" s="35">
        <f>IF(O$2&gt;Inputs!$G$19,0,((1/(O7/1000000))*O9)*Inputs!$G$14*(1-Inputs!$G$15))</f>
        <v>25898939.999999996</v>
      </c>
      <c r="P10" s="35">
        <f>IF(P$2&gt;Inputs!$G$19,0,((1/(P7/1000000))*P9)*Inputs!$G$14*(1-Inputs!$G$15))</f>
        <v>25898940.000000004</v>
      </c>
      <c r="Q10" s="35">
        <f>IF(Q$2&gt;Inputs!$G$19,0,((1/(Q7/1000000))*Q9)*Inputs!$G$14*(1-Inputs!$G$15))</f>
        <v>25898940.000000004</v>
      </c>
      <c r="R10" s="35">
        <f>IF(R$2&gt;Inputs!$G$19,0,((1/(R7/1000000))*R9)*Inputs!$G$14*(1-Inputs!$G$15))</f>
        <v>25898940.000000004</v>
      </c>
      <c r="S10" s="35">
        <f>IF(S$2&gt;Inputs!$G$19,0,((1/(S7/1000000))*S9)*Inputs!$G$14*(1-Inputs!$G$15))</f>
        <v>25898940</v>
      </c>
      <c r="T10" s="35">
        <f>IF(T$2&gt;Inputs!$G$19,0,((1/(T7/1000000))*T9)*Inputs!$G$14*(1-Inputs!$G$15))</f>
        <v>25898940</v>
      </c>
      <c r="U10" s="35">
        <f>IF(U$2&gt;Inputs!$G$19,0,((1/(U7/1000000))*U9)*Inputs!$G$14*(1-Inputs!$G$15))</f>
        <v>25898940.000000004</v>
      </c>
      <c r="V10" s="35">
        <f>IF(V$2&gt;Inputs!$G$19,0,((1/(V7/1000000))*V9)*Inputs!$G$14*(1-Inputs!$G$15))</f>
        <v>25898940.000000004</v>
      </c>
      <c r="W10" s="35">
        <f>IF(W$2&gt;Inputs!$G$19,0,((1/(W7/1000000))*W9)*Inputs!$G$14*(1-Inputs!$G$15))</f>
        <v>25898939.999999996</v>
      </c>
      <c r="X10" s="35">
        <f>IF(X$2&gt;Inputs!$G$19,0,((1/(X7/1000000))*X9)*Inputs!$G$14*(1-Inputs!$G$15))</f>
        <v>25898940.000000004</v>
      </c>
      <c r="Y10" s="35">
        <f>IF(Y$2&gt;Inputs!$G$19,0,((1/(Y7/1000000))*Y9)*Inputs!$G$14*(1-Inputs!$G$15))</f>
        <v>25898940.000000004</v>
      </c>
      <c r="Z10" s="35">
        <f>IF(Z$2&gt;Inputs!$G$19,0,((1/(Z7/1000000))*Z9)*Inputs!$G$14*(1-Inputs!$G$15))</f>
        <v>25898940.000000004</v>
      </c>
      <c r="AA10" s="35">
        <f>IF(AA$2&gt;Inputs!$G$19,0,((1/(AA7/1000000))*AA9)*Inputs!$G$14*(1-Inputs!$G$15))</f>
        <v>0</v>
      </c>
      <c r="AB10" s="35">
        <f>IF(AB$2&gt;Inputs!$G$19,0,((1/(AB7/1000000))*AB9)*Inputs!$G$14*(1-Inputs!$G$15))</f>
        <v>0</v>
      </c>
      <c r="AC10" s="35">
        <f>IF(AC$2&gt;Inputs!$G$19,0,((1/(AC7/1000000))*AC9)*Inputs!$G$14*(1-Inputs!$G$15))</f>
        <v>0</v>
      </c>
      <c r="AD10" s="35">
        <f>IF(AD$2&gt;Inputs!$G$19,0,((1/(AD7/1000000))*AD9)*Inputs!$G$14*(1-Inputs!$G$15))</f>
        <v>0</v>
      </c>
      <c r="AE10" s="35">
        <f>IF(AE$2&gt;Inputs!$G$19,0,((1/(AE7/1000000))*AE9)*Inputs!$G$14*(1-Inputs!$G$15))</f>
        <v>0</v>
      </c>
      <c r="AF10" s="35">
        <f>IF(AF$2&gt;Inputs!$G$19,0,((1/(AF7/1000000))*AF9)*Inputs!$G$14*(1-Inputs!$G$15))</f>
        <v>0</v>
      </c>
      <c r="AG10" s="35">
        <f>IF(AG$2&gt;Inputs!$G$19,0,((1/(AG7/1000000))*AG9)*Inputs!$G$14*(1-Inputs!$G$15))</f>
        <v>0</v>
      </c>
      <c r="AH10" s="35">
        <f>IF(AH$2&gt;Inputs!$G$19,0,((1/(AH7/1000000))*AH9)*Inputs!$G$14*(1-Inputs!$G$15))</f>
        <v>0</v>
      </c>
      <c r="AI10" s="35">
        <f>IF(AI$2&gt;Inputs!$G$19,0,((1/(AI7/1000000))*AI9)*Inputs!$G$14*(1-Inputs!$G$15))</f>
        <v>0</v>
      </c>
      <c r="AJ10" s="35">
        <f>IF(AJ$2&gt;Inputs!$G$19,0,((1/(AJ7/1000000))*AJ9)*Inputs!$G$14*(1-Inputs!$G$15))</f>
        <v>0</v>
      </c>
    </row>
    <row r="11" spans="2:36" s="29" customFormat="1" ht="16">
      <c r="B11" s="34" t="s">
        <v>440</v>
      </c>
      <c r="C11" s="34"/>
      <c r="D11" s="34"/>
      <c r="E11" s="79" t="s">
        <v>441</v>
      </c>
      <c r="G11" s="35">
        <f>IF(G$2&gt;Inputs!$G$19,0,(G10*Inputs!$Q$8)/100000)</f>
        <v>813714.47937000019</v>
      </c>
      <c r="H11" s="35">
        <f>IF(H$2&gt;Inputs!$G$19,0,(H10*Inputs!$Q$8)/100000)</f>
        <v>813714.47937000019</v>
      </c>
      <c r="I11" s="35">
        <f>IF(I$2&gt;Inputs!$G$19,0,(I10*Inputs!$Q$8)/100000)</f>
        <v>813714.47937000019</v>
      </c>
      <c r="J11" s="35">
        <f>IF(J$2&gt;Inputs!$G$19,0,(J10*Inputs!$Q$8)/100000)</f>
        <v>813714.47936999996</v>
      </c>
      <c r="K11" s="35">
        <f>IF(K$2&gt;Inputs!$G$19,0,(K10*Inputs!$Q$8)/100000)</f>
        <v>813714.47937000019</v>
      </c>
      <c r="L11" s="35">
        <f>IF(L$2&gt;Inputs!$G$19,0,(L10*Inputs!$Q$8)/100000)</f>
        <v>813714.47937000019</v>
      </c>
      <c r="M11" s="35">
        <f>IF(M$2&gt;Inputs!$G$19,0,(M10*Inputs!$Q$8)/100000)</f>
        <v>813714.47937000019</v>
      </c>
      <c r="N11" s="35">
        <f>IF(N$2&gt;Inputs!$G$19,0,(N10*Inputs!$Q$8)/100000)</f>
        <v>813714.47937000019</v>
      </c>
      <c r="O11" s="35">
        <f>IF(O$2&gt;Inputs!$G$19,0,(O10*Inputs!$Q$8)/100000)</f>
        <v>813714.47936999996</v>
      </c>
      <c r="P11" s="35">
        <f>IF(P$2&gt;Inputs!$G$19,0,(P10*Inputs!$Q$8)/100000)</f>
        <v>813714.47937000019</v>
      </c>
      <c r="Q11" s="35">
        <f>IF(Q$2&gt;Inputs!$G$19,0,(Q10*Inputs!$Q$8)/100000)</f>
        <v>813714.47937000019</v>
      </c>
      <c r="R11" s="35">
        <f>IF(R$2&gt;Inputs!$G$19,0,(R10*Inputs!$Q$8)/100000)</f>
        <v>813714.47937000019</v>
      </c>
      <c r="S11" s="35">
        <f>IF(S$2&gt;Inputs!$G$19,0,(S10*Inputs!$Q$8)/100000)</f>
        <v>813714.47937000019</v>
      </c>
      <c r="T11" s="35">
        <f>IF(T$2&gt;Inputs!$G$19,0,(T10*Inputs!$Q$8)/100000)</f>
        <v>813714.47937000019</v>
      </c>
      <c r="U11" s="35">
        <f>IF(U$2&gt;Inputs!$G$19,0,(U10*Inputs!$Q$8)/100000)</f>
        <v>813714.47937000019</v>
      </c>
      <c r="V11" s="35">
        <f>IF(V$2&gt;Inputs!$G$19,0,(V10*Inputs!$Q$8)/100000)</f>
        <v>813714.47937000019</v>
      </c>
      <c r="W11" s="35">
        <f>IF(W$2&gt;Inputs!$G$19,0,(W10*Inputs!$Q$8)/100000)</f>
        <v>813714.47936999996</v>
      </c>
      <c r="X11" s="35">
        <f>IF(X$2&gt;Inputs!$G$19,0,(X10*Inputs!$Q$8)/100000)</f>
        <v>813714.47937000019</v>
      </c>
      <c r="Y11" s="35">
        <f>IF(Y$2&gt;Inputs!$G$19,0,(Y10*Inputs!$Q$8)/100000)</f>
        <v>813714.47937000019</v>
      </c>
      <c r="Z11" s="35">
        <f>IF(Z$2&gt;Inputs!$G$19,0,(Z10*Inputs!$Q$8)/100000)</f>
        <v>813714.47937000019</v>
      </c>
      <c r="AA11" s="35">
        <f>IF(AA$2&gt;Inputs!$G$19,0,(AA10*Inputs!$Q$8)/100000)</f>
        <v>0</v>
      </c>
      <c r="AB11" s="35">
        <f>IF(AB$2&gt;Inputs!$G$19,0,(AB10*Inputs!$Q$8)/100000)</f>
        <v>0</v>
      </c>
      <c r="AC11" s="35">
        <f>IF(AC$2&gt;Inputs!$G$19,0,(AC10*Inputs!$Q$8)/100000)</f>
        <v>0</v>
      </c>
      <c r="AD11" s="35">
        <f>IF(AD$2&gt;Inputs!$G$19,0,(AD10*Inputs!$Q$8)/100000)</f>
        <v>0</v>
      </c>
      <c r="AE11" s="35">
        <f>IF(AE$2&gt;Inputs!$G$19,0,(AE10*Inputs!$Q$8)/100000)</f>
        <v>0</v>
      </c>
      <c r="AF11" s="35">
        <f>IF(AF$2&gt;Inputs!$G$19,0,(AF10*Inputs!$Q$8)/100000)</f>
        <v>0</v>
      </c>
      <c r="AG11" s="35">
        <f>IF(AG$2&gt;Inputs!$G$19,0,(AG10*Inputs!$Q$8)/100000)</f>
        <v>0</v>
      </c>
      <c r="AH11" s="35">
        <f>IF(AH$2&gt;Inputs!$G$19,0,(AH10*Inputs!$Q$8)/100000)</f>
        <v>0</v>
      </c>
      <c r="AI11" s="35">
        <f>IF(AI$2&gt;Inputs!$G$19,0,(AI10*Inputs!$Q$8)/100000)</f>
        <v>0</v>
      </c>
      <c r="AJ11" s="35">
        <f>IF(AJ$2&gt;Inputs!$G$19,0,(AJ10*Inputs!$Q$8)/100000)</f>
        <v>0</v>
      </c>
    </row>
    <row r="12" spans="2:36" s="29" customFormat="1" ht="16">
      <c r="B12" s="29" t="s">
        <v>436</v>
      </c>
      <c r="C12" s="34"/>
      <c r="D12" s="34"/>
      <c r="G12" s="320">
        <v>1</v>
      </c>
      <c r="H12" s="743">
        <f>G12*(1+Inputs!$Q$10)</f>
        <v>1.02</v>
      </c>
      <c r="I12" s="743">
        <f>H12*(1+Inputs!$Q$10)</f>
        <v>1.0404</v>
      </c>
      <c r="J12" s="743">
        <f>I12*(1+Inputs!$Q$10)</f>
        <v>1.0612079999999999</v>
      </c>
      <c r="K12" s="743">
        <f>J12*(1+Inputs!$Q$10)</f>
        <v>1.08243216</v>
      </c>
      <c r="L12" s="743">
        <f>K12*(1+Inputs!$Q$10)</f>
        <v>1.1040808032</v>
      </c>
      <c r="M12" s="743">
        <f>L12*(1+Inputs!$Q$10)</f>
        <v>1.1261624192640001</v>
      </c>
      <c r="N12" s="743">
        <f>M12*(1+Inputs!$Q$10)</f>
        <v>1.14868566764928</v>
      </c>
      <c r="O12" s="743">
        <f>N12*(1+Inputs!$Q$10)</f>
        <v>1.1716593810022657</v>
      </c>
      <c r="P12" s="743">
        <f>O12*(1+Inputs!$Q$10)</f>
        <v>1.1950925686223111</v>
      </c>
      <c r="Q12" s="743">
        <f>P12*(1+Inputs!$Q$10)</f>
        <v>1.2189944199947573</v>
      </c>
      <c r="R12" s="743">
        <f>Q12*(1+Inputs!$Q$10)</f>
        <v>1.2433743083946525</v>
      </c>
      <c r="S12" s="743">
        <f>R12*(1+Inputs!$Q$10)</f>
        <v>1.2682417945625455</v>
      </c>
      <c r="T12" s="743">
        <f>S12*(1+Inputs!$Q$10)</f>
        <v>1.2936066304537963</v>
      </c>
      <c r="U12" s="743">
        <f>T12*(1+Inputs!$Q$10)</f>
        <v>1.3194787630628724</v>
      </c>
      <c r="V12" s="743">
        <f>U12*(1+Inputs!$Q$10)</f>
        <v>1.3458683383241299</v>
      </c>
      <c r="W12" s="743">
        <f>V12*(1+Inputs!$Q$10)</f>
        <v>1.3727857050906125</v>
      </c>
      <c r="X12" s="743">
        <f>W12*(1+Inputs!$Q$10)</f>
        <v>1.4002414191924248</v>
      </c>
      <c r="Y12" s="743">
        <f>X12*(1+Inputs!$Q$10)</f>
        <v>1.4282462475762734</v>
      </c>
      <c r="Z12" s="743">
        <f>Y12*(1+Inputs!$Q$10)</f>
        <v>1.4568111725277988</v>
      </c>
      <c r="AA12" s="743">
        <f>Z12*(1+Inputs!$Q$10)</f>
        <v>1.4859473959783549</v>
      </c>
      <c r="AB12" s="743">
        <f>AA12*(1+Inputs!$Q$10)</f>
        <v>1.5156663438979221</v>
      </c>
      <c r="AC12" s="743">
        <f>AB12*(1+Inputs!$Q$10)</f>
        <v>1.5459796707758806</v>
      </c>
      <c r="AD12" s="743">
        <f>AC12*(1+Inputs!$Q$10)</f>
        <v>1.5768992641913981</v>
      </c>
      <c r="AE12" s="743">
        <f>AD12*(1+Inputs!$Q$10)</f>
        <v>1.6084372494752261</v>
      </c>
      <c r="AF12" s="743">
        <f>AE12*(1+Inputs!$Q$10)</f>
        <v>1.6406059944647307</v>
      </c>
      <c r="AG12" s="743">
        <f>AF12*(1+Inputs!$Q$10)</f>
        <v>1.6734181143540252</v>
      </c>
      <c r="AH12" s="743">
        <f>AG12*(1+Inputs!$Q$10)</f>
        <v>1.7068864766411058</v>
      </c>
      <c r="AI12" s="743">
        <f>AH12*(1+Inputs!$Q$10)</f>
        <v>1.7410242061739281</v>
      </c>
      <c r="AJ12" s="743">
        <f>AI12*(1+Inputs!$Q$10)</f>
        <v>1.7758446902974065</v>
      </c>
    </row>
    <row r="13" spans="2:36" s="29" customFormat="1" ht="16">
      <c r="B13" s="34"/>
      <c r="C13" s="34"/>
      <c r="D13" s="34"/>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row>
    <row r="14" spans="2:36" s="29" customFormat="1" ht="16">
      <c r="B14" s="34" t="s">
        <v>99</v>
      </c>
      <c r="C14" s="34"/>
      <c r="D14" s="34"/>
      <c r="E14" s="79"/>
    </row>
    <row r="15" spans="2:36" s="29" customFormat="1" ht="16">
      <c r="B15" s="29" t="s">
        <v>101</v>
      </c>
      <c r="E15" s="79"/>
      <c r="G15" s="320">
        <v>1</v>
      </c>
      <c r="H15" s="33">
        <f>G15*(1+(Inputs!$Q$15*Inputs!$Q$14))</f>
        <v>1</v>
      </c>
      <c r="I15" s="33">
        <f>H15*(1+(Inputs!$Q$15*Inputs!$Q$14))</f>
        <v>1</v>
      </c>
      <c r="J15" s="33">
        <f>I15*(1+(Inputs!$Q$15*Inputs!$Q$14))</f>
        <v>1</v>
      </c>
      <c r="K15" s="33">
        <f>J15*(1+(Inputs!$Q$15*Inputs!$Q$14))</f>
        <v>1</v>
      </c>
      <c r="L15" s="33">
        <f>K15*(1+(Inputs!$Q$15*Inputs!$Q$14))</f>
        <v>1</v>
      </c>
      <c r="M15" s="33">
        <f>L15*(1+(Inputs!$Q$15*Inputs!$Q$14))</f>
        <v>1</v>
      </c>
      <c r="N15" s="33">
        <f>M15*(1+(Inputs!$Q$15*Inputs!$Q$14))</f>
        <v>1</v>
      </c>
      <c r="O15" s="33">
        <f>N15*(1+(Inputs!$Q$15*Inputs!$Q$14))</f>
        <v>1</v>
      </c>
      <c r="P15" s="33">
        <f>O15*(1+(Inputs!$Q$15*Inputs!$Q$14))</f>
        <v>1</v>
      </c>
      <c r="Q15" s="33">
        <f>P15*(1+(Inputs!$Q$15*Inputs!$Q$14))</f>
        <v>1</v>
      </c>
      <c r="R15" s="33">
        <f>Q15*(1+(Inputs!$Q$15*Inputs!$Q$14))</f>
        <v>1</v>
      </c>
      <c r="S15" s="33">
        <f>R15*(1+(Inputs!$Q$15*Inputs!$Q$14))</f>
        <v>1</v>
      </c>
      <c r="T15" s="33">
        <f>S15*(1+(Inputs!$Q$15*Inputs!$Q$14))</f>
        <v>1</v>
      </c>
      <c r="U15" s="33">
        <f>T15*(1+(Inputs!$Q$15*Inputs!$Q$14))</f>
        <v>1</v>
      </c>
      <c r="V15" s="33">
        <f>U15*(1+(Inputs!$Q$15*Inputs!$Q$14))</f>
        <v>1</v>
      </c>
      <c r="W15" s="33">
        <f>V15*(1+(Inputs!$Q$15*Inputs!$Q$14))</f>
        <v>1</v>
      </c>
      <c r="X15" s="33">
        <f>W15*(1+(Inputs!$Q$15*Inputs!$Q$14))</f>
        <v>1</v>
      </c>
      <c r="Y15" s="33">
        <f>X15*(1+(Inputs!$Q$15*Inputs!$Q$14))</f>
        <v>1</v>
      </c>
      <c r="Z15" s="33">
        <f>Y15*(1+(Inputs!$Q$15*Inputs!$Q$14))</f>
        <v>1</v>
      </c>
      <c r="AA15" s="33">
        <f>Z15*(1+(Inputs!$Q$15*Inputs!$Q$14))</f>
        <v>1</v>
      </c>
      <c r="AB15" s="33">
        <f>AA15*(1+(Inputs!$Q$15*Inputs!$Q$14))</f>
        <v>1</v>
      </c>
      <c r="AC15" s="33">
        <f>AB15*(1+(Inputs!$Q$15*Inputs!$Q$14))</f>
        <v>1</v>
      </c>
      <c r="AD15" s="33">
        <f>AC15*(1+(Inputs!$Q$15*Inputs!$Q$14))</f>
        <v>1</v>
      </c>
      <c r="AE15" s="33">
        <f>AD15*(1+(Inputs!$Q$15*Inputs!$Q$14))</f>
        <v>1</v>
      </c>
      <c r="AF15" s="33">
        <f>AE15*(1+(Inputs!$Q$15*Inputs!$Q$14))</f>
        <v>1</v>
      </c>
      <c r="AG15" s="33">
        <f>AF15*(1+(Inputs!$Q$15*Inputs!$Q$14))</f>
        <v>1</v>
      </c>
      <c r="AH15" s="33">
        <f>AG15*(1+(Inputs!$Q$15*Inputs!$Q$14))</f>
        <v>1</v>
      </c>
      <c r="AI15" s="33">
        <f>AH15*(1+(Inputs!$Q$15*Inputs!$Q$14))</f>
        <v>1</v>
      </c>
      <c r="AJ15" s="33">
        <f>AI15*(1+(Inputs!$Q$15*Inputs!$Q$14))</f>
        <v>1</v>
      </c>
    </row>
    <row r="16" spans="2:36" s="29" customFormat="1" ht="16">
      <c r="B16" s="29" t="s">
        <v>142</v>
      </c>
      <c r="E16" s="79"/>
      <c r="G16" s="320">
        <v>1</v>
      </c>
      <c r="H16" s="33">
        <f>G16*(1+Inputs!$Q$33)</f>
        <v>1.02</v>
      </c>
      <c r="I16" s="33">
        <f>H16*(1+Inputs!$Q$33)</f>
        <v>1.0404</v>
      </c>
      <c r="J16" s="33">
        <f>I16*(1+Inputs!$Q$33)</f>
        <v>1.0612079999999999</v>
      </c>
      <c r="K16" s="33">
        <f>J16*(1+Inputs!$Q$33)</f>
        <v>1.08243216</v>
      </c>
      <c r="L16" s="33">
        <f>K16*(1+Inputs!$Q$33)</f>
        <v>1.1040808032</v>
      </c>
      <c r="M16" s="33">
        <f>L16*(1+Inputs!$Q$33)</f>
        <v>1.1261624192640001</v>
      </c>
      <c r="N16" s="33">
        <f>M16*(1+Inputs!$Q$33)</f>
        <v>1.14868566764928</v>
      </c>
      <c r="O16" s="33">
        <f>N16*(1+Inputs!$Q$33)</f>
        <v>1.1716593810022657</v>
      </c>
      <c r="P16" s="33">
        <f>O16*(1+Inputs!$Q$33)</f>
        <v>1.1950925686223111</v>
      </c>
      <c r="Q16" s="33">
        <f>P16*(1+Inputs!$Q$33)</f>
        <v>1.2189944199947573</v>
      </c>
      <c r="R16" s="33">
        <f>Q16*(1+Inputs!$Q$33)</f>
        <v>1.2433743083946525</v>
      </c>
      <c r="S16" s="33">
        <f>R16*(1+Inputs!$Q$33)</f>
        <v>1.2682417945625455</v>
      </c>
      <c r="T16" s="33">
        <f>S16*(1+Inputs!$Q$33)</f>
        <v>1.2936066304537963</v>
      </c>
      <c r="U16" s="33">
        <f>T16*(1+Inputs!$Q$33)</f>
        <v>1.3194787630628724</v>
      </c>
      <c r="V16" s="33">
        <f>U16*(1+Inputs!$Q$33)</f>
        <v>1.3458683383241299</v>
      </c>
      <c r="W16" s="33">
        <f>V16*(1+Inputs!$Q$33)</f>
        <v>1.3727857050906125</v>
      </c>
      <c r="X16" s="33">
        <f>W16*(1+Inputs!$Q$33)</f>
        <v>1.4002414191924248</v>
      </c>
      <c r="Y16" s="33">
        <f>X16*(1+Inputs!$Q$33)</f>
        <v>1.4282462475762734</v>
      </c>
      <c r="Z16" s="33">
        <f>Y16*(1+Inputs!$Q$33)</f>
        <v>1.4568111725277988</v>
      </c>
      <c r="AA16" s="33">
        <f>Z16*(1+Inputs!$Q$33)</f>
        <v>1.4859473959783549</v>
      </c>
      <c r="AB16" s="33">
        <f>AA16*(1+Inputs!$Q$33)</f>
        <v>1.5156663438979221</v>
      </c>
      <c r="AC16" s="33">
        <f>AB16*(1+Inputs!$Q$33)</f>
        <v>1.5459796707758806</v>
      </c>
      <c r="AD16" s="33">
        <f>AC16*(1+Inputs!$Q$33)</f>
        <v>1.5768992641913981</v>
      </c>
      <c r="AE16" s="33">
        <f>AD16*(1+Inputs!$Q$33)</f>
        <v>1.6084372494752261</v>
      </c>
      <c r="AF16" s="33">
        <f>AE16*(1+Inputs!$Q$33)</f>
        <v>1.6406059944647307</v>
      </c>
      <c r="AG16" s="33">
        <f>AF16*(1+Inputs!$Q$33)</f>
        <v>1.6734181143540252</v>
      </c>
      <c r="AH16" s="33">
        <f>AG16*(1+Inputs!$Q$33)</f>
        <v>1.7068864766411058</v>
      </c>
      <c r="AI16" s="33">
        <f>AH16*(1+Inputs!$Q$33)</f>
        <v>1.7410242061739281</v>
      </c>
      <c r="AJ16" s="33">
        <f>AI16*(1+Inputs!$Q$33)</f>
        <v>1.7758446902974065</v>
      </c>
    </row>
    <row r="17" spans="2:36" s="29" customFormat="1" ht="16">
      <c r="B17" s="29" t="s">
        <v>143</v>
      </c>
      <c r="E17" s="79"/>
      <c r="G17" s="320">
        <v>1</v>
      </c>
      <c r="H17" s="33">
        <f>G17*(1+Inputs!$Q$49)</f>
        <v>1.02</v>
      </c>
      <c r="I17" s="33">
        <f>H17*(1+Inputs!$Q$49)</f>
        <v>1.0404</v>
      </c>
      <c r="J17" s="33">
        <f>I17*(1+Inputs!$Q$49)</f>
        <v>1.0612079999999999</v>
      </c>
      <c r="K17" s="33">
        <f>J17*(1+Inputs!$Q$49)</f>
        <v>1.08243216</v>
      </c>
      <c r="L17" s="33">
        <f>K17*(1+Inputs!$Q$49)</f>
        <v>1.1040808032</v>
      </c>
      <c r="M17" s="33">
        <f>L17*(1+Inputs!$Q$49)</f>
        <v>1.1261624192640001</v>
      </c>
      <c r="N17" s="33">
        <f>M17*(1+Inputs!$Q$49)</f>
        <v>1.14868566764928</v>
      </c>
      <c r="O17" s="33">
        <f>N17*(1+Inputs!$Q$49)</f>
        <v>1.1716593810022657</v>
      </c>
      <c r="P17" s="33">
        <f>O17*(1+Inputs!$Q$49)</f>
        <v>1.1950925686223111</v>
      </c>
      <c r="Q17" s="33">
        <f>P17*(1+Inputs!$Q$49)</f>
        <v>1.2189944199947573</v>
      </c>
      <c r="R17" s="33">
        <f>Q17*(1+Inputs!$Q$49)</f>
        <v>1.2433743083946525</v>
      </c>
      <c r="S17" s="33">
        <f>R17*(1+Inputs!$Q$49)</f>
        <v>1.2682417945625455</v>
      </c>
      <c r="T17" s="33">
        <f>S17*(1+Inputs!$Q$49)</f>
        <v>1.2936066304537963</v>
      </c>
      <c r="U17" s="33">
        <f>T17*(1+Inputs!$Q$49)</f>
        <v>1.3194787630628724</v>
      </c>
      <c r="V17" s="33">
        <f>U17*(1+Inputs!$Q$49)</f>
        <v>1.3458683383241299</v>
      </c>
      <c r="W17" s="33">
        <f>V17*(1+Inputs!$Q$49)</f>
        <v>1.3727857050906125</v>
      </c>
      <c r="X17" s="33">
        <f>W17*(1+Inputs!$Q$49)</f>
        <v>1.4002414191924248</v>
      </c>
      <c r="Y17" s="33">
        <f>X17*(1+Inputs!$Q$49)</f>
        <v>1.4282462475762734</v>
      </c>
      <c r="Z17" s="33">
        <f>Y17*(1+Inputs!$Q$49)</f>
        <v>1.4568111725277988</v>
      </c>
      <c r="AA17" s="33">
        <f>Z17*(1+Inputs!$Q$49)</f>
        <v>1.4859473959783549</v>
      </c>
      <c r="AB17" s="33">
        <f>AA17*(1+Inputs!$Q$49)</f>
        <v>1.5156663438979221</v>
      </c>
      <c r="AC17" s="33">
        <f>AB17*(1+Inputs!$Q$49)</f>
        <v>1.5459796707758806</v>
      </c>
      <c r="AD17" s="33">
        <f>AC17*(1+Inputs!$Q$49)</f>
        <v>1.5768992641913981</v>
      </c>
      <c r="AE17" s="33">
        <f>AD17*(1+Inputs!$Q$49)</f>
        <v>1.6084372494752261</v>
      </c>
      <c r="AF17" s="33">
        <f>AE17*(1+Inputs!$Q$49)</f>
        <v>1.6406059944647307</v>
      </c>
      <c r="AG17" s="33">
        <f>AF17*(1+Inputs!$Q$49)</f>
        <v>1.6734181143540252</v>
      </c>
      <c r="AH17" s="33">
        <f>AG17*(1+Inputs!$Q$49)</f>
        <v>1.7068864766411058</v>
      </c>
      <c r="AI17" s="33">
        <f>AH17*(1+Inputs!$Q$49)</f>
        <v>1.7410242061739281</v>
      </c>
      <c r="AJ17" s="33">
        <f>AI17*(1+Inputs!$Q$49)</f>
        <v>1.7758446902974065</v>
      </c>
    </row>
    <row r="18" spans="2:36" s="29" customFormat="1" ht="16">
      <c r="E18" s="79"/>
      <c r="F18" s="79"/>
      <c r="G18" s="88"/>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2:36" s="29" customFormat="1" ht="16">
      <c r="B19" s="36" t="s">
        <v>253</v>
      </c>
      <c r="C19" s="36"/>
      <c r="D19" s="36"/>
      <c r="E19" s="79" t="s">
        <v>52</v>
      </c>
      <c r="F19" s="384">
        <f>1-F20</f>
        <v>1</v>
      </c>
      <c r="G19" s="90">
        <f>$G$82*$F19</f>
        <v>12.849999999999998</v>
      </c>
      <c r="H19" s="90">
        <f>IF(H2&gt;Inputs!$Q$13,0,G19)</f>
        <v>12.849999999999998</v>
      </c>
      <c r="I19" s="90">
        <f>IF(I2&gt;Inputs!$Q$13,0,H19)</f>
        <v>12.849999999999998</v>
      </c>
      <c r="J19" s="90">
        <f>IF(J2&gt;Inputs!$Q$13,0,I19)</f>
        <v>12.849999999999998</v>
      </c>
      <c r="K19" s="90">
        <f>IF(K2&gt;Inputs!$Q$13,0,J19)</f>
        <v>12.849999999999998</v>
      </c>
      <c r="L19" s="90">
        <f>IF(L2&gt;Inputs!$Q$13,0,K19)</f>
        <v>12.849999999999998</v>
      </c>
      <c r="M19" s="90">
        <f>IF(M2&gt;Inputs!$Q$13,0,L19)</f>
        <v>12.849999999999998</v>
      </c>
      <c r="N19" s="90">
        <f>IF(N2&gt;Inputs!$Q$13,0,M19)</f>
        <v>12.849999999999998</v>
      </c>
      <c r="O19" s="90">
        <f>IF(O2&gt;Inputs!$Q$13,0,N19)</f>
        <v>12.849999999999998</v>
      </c>
      <c r="P19" s="90">
        <f>IF(P2&gt;Inputs!$Q$13,0,O19)</f>
        <v>12.849999999999998</v>
      </c>
      <c r="Q19" s="90">
        <f>IF(Q2&gt;Inputs!$Q$13,0,P19)</f>
        <v>12.849999999999998</v>
      </c>
      <c r="R19" s="90">
        <f>IF(R2&gt;Inputs!$Q$13,0,Q19)</f>
        <v>12.849999999999998</v>
      </c>
      <c r="S19" s="90">
        <f>IF(S2&gt;Inputs!$Q$13,0,R19)</f>
        <v>12.849999999999998</v>
      </c>
      <c r="T19" s="90">
        <f>IF(T2&gt;Inputs!$Q$13,0,S19)</f>
        <v>12.849999999999998</v>
      </c>
      <c r="U19" s="90">
        <f>IF(U2&gt;Inputs!$Q$13,0,T19)</f>
        <v>12.849999999999998</v>
      </c>
      <c r="V19" s="90">
        <f>IF(V2&gt;Inputs!$Q$13,0,U19)</f>
        <v>12.849999999999998</v>
      </c>
      <c r="W19" s="90">
        <f>IF(W2&gt;Inputs!$Q$13,0,V19)</f>
        <v>12.849999999999998</v>
      </c>
      <c r="X19" s="90">
        <f>IF(X2&gt;Inputs!$Q$13,0,W19)</f>
        <v>12.849999999999998</v>
      </c>
      <c r="Y19" s="90">
        <f>IF(Y2&gt;Inputs!$Q$13,0,X19)</f>
        <v>12.849999999999998</v>
      </c>
      <c r="Z19" s="90">
        <f>IF(Z2&gt;Inputs!$Q$13,0,Y19)</f>
        <v>12.849999999999998</v>
      </c>
      <c r="AA19" s="90">
        <f>IF(AA2&gt;Inputs!$Q$13,0,Z19)</f>
        <v>0</v>
      </c>
      <c r="AB19" s="90">
        <f>IF(AB2&gt;Inputs!$Q$13,0,AA19)</f>
        <v>0</v>
      </c>
      <c r="AC19" s="90">
        <f>IF(AC2&gt;Inputs!$Q$13,0,AB19)</f>
        <v>0</v>
      </c>
      <c r="AD19" s="90">
        <f>IF(AD2&gt;Inputs!$Q$13,0,AC19)</f>
        <v>0</v>
      </c>
      <c r="AE19" s="90">
        <f>IF(AE2&gt;Inputs!$Q$13,0,AD19)</f>
        <v>0</v>
      </c>
      <c r="AF19" s="90">
        <f>IF(AF2&gt;Inputs!$Q$13,0,AE19)</f>
        <v>0</v>
      </c>
      <c r="AG19" s="90">
        <f>IF(AG2&gt;Inputs!$Q$13,0,AF19)</f>
        <v>0</v>
      </c>
      <c r="AH19" s="90">
        <f>IF(AH2&gt;Inputs!$Q$13,0,AG19)</f>
        <v>0</v>
      </c>
      <c r="AI19" s="90">
        <f>IF(AI2&gt;Inputs!$Q$13,0,AH19)</f>
        <v>0</v>
      </c>
      <c r="AJ19" s="90">
        <f>IF(AJ2&gt;Inputs!$Q$13,0,AI19)</f>
        <v>0</v>
      </c>
    </row>
    <row r="20" spans="2:36" s="29" customFormat="1" ht="16">
      <c r="B20" s="385" t="s">
        <v>255</v>
      </c>
      <c r="C20" s="385"/>
      <c r="D20" s="385"/>
      <c r="E20" s="79" t="s">
        <v>52</v>
      </c>
      <c r="F20" s="383">
        <f>Inputs!Q14</f>
        <v>0</v>
      </c>
      <c r="G20" s="386">
        <f>$G$82*$F20</f>
        <v>0</v>
      </c>
      <c r="H20" s="386">
        <f>IF(H2&gt;Inputs!$Q$13,0,G20*(1+Inputs!$Q$15))</f>
        <v>0</v>
      </c>
      <c r="I20" s="386">
        <f>IF(I2&gt;Inputs!$Q$13,0,H20*(1+Inputs!$Q$15))</f>
        <v>0</v>
      </c>
      <c r="J20" s="386">
        <f>IF(J2&gt;Inputs!$Q$13,0,I20*(1+Inputs!$Q$15))</f>
        <v>0</v>
      </c>
      <c r="K20" s="386">
        <f>IF(K2&gt;Inputs!$Q$13,0,J20*(1+Inputs!$Q$15))</f>
        <v>0</v>
      </c>
      <c r="L20" s="386">
        <f>IF(L2&gt;Inputs!$Q$13,0,K20*(1+Inputs!$Q$15))</f>
        <v>0</v>
      </c>
      <c r="M20" s="386">
        <f>IF(M2&gt;Inputs!$Q$13,0,L20*(1+Inputs!$Q$15))</f>
        <v>0</v>
      </c>
      <c r="N20" s="386">
        <f>IF(N2&gt;Inputs!$Q$13,0,M20*(1+Inputs!$Q$15))</f>
        <v>0</v>
      </c>
      <c r="O20" s="386">
        <f>IF(O2&gt;Inputs!$Q$13,0,N20*(1+Inputs!$Q$15))</f>
        <v>0</v>
      </c>
      <c r="P20" s="386">
        <f>IF(P2&gt;Inputs!$Q$13,0,O20*(1+Inputs!$Q$15))</f>
        <v>0</v>
      </c>
      <c r="Q20" s="386">
        <f>IF(Q2&gt;Inputs!$Q$13,0,P20*(1+Inputs!$Q$15))</f>
        <v>0</v>
      </c>
      <c r="R20" s="386">
        <f>IF(R2&gt;Inputs!$Q$13,0,Q20*(1+Inputs!$Q$15))</f>
        <v>0</v>
      </c>
      <c r="S20" s="386">
        <f>IF(S2&gt;Inputs!$Q$13,0,R20*(1+Inputs!$Q$15))</f>
        <v>0</v>
      </c>
      <c r="T20" s="386">
        <f>IF(T2&gt;Inputs!$Q$13,0,S20*(1+Inputs!$Q$15))</f>
        <v>0</v>
      </c>
      <c r="U20" s="386">
        <f>IF(U2&gt;Inputs!$Q$13,0,T20*(1+Inputs!$Q$15))</f>
        <v>0</v>
      </c>
      <c r="V20" s="386">
        <f>IF(V2&gt;Inputs!$Q$13,0,U20*(1+Inputs!$Q$15))</f>
        <v>0</v>
      </c>
      <c r="W20" s="386">
        <f>IF(W2&gt;Inputs!$Q$13,0,V20*(1+Inputs!$Q$15))</f>
        <v>0</v>
      </c>
      <c r="X20" s="386">
        <f>IF(X2&gt;Inputs!$Q$13,0,W20*(1+Inputs!$Q$15))</f>
        <v>0</v>
      </c>
      <c r="Y20" s="386">
        <f>IF(Y2&gt;Inputs!$Q$13,0,X20*(1+Inputs!$Q$15))</f>
        <v>0</v>
      </c>
      <c r="Z20" s="386">
        <f>IF(Z2&gt;Inputs!$Q$13,0,Y20*(1+Inputs!$Q$15))</f>
        <v>0</v>
      </c>
      <c r="AA20" s="386">
        <f>IF(AA2&gt;Inputs!$Q$13,0,Z20*(1+Inputs!$Q$15))</f>
        <v>0</v>
      </c>
      <c r="AB20" s="386">
        <f>IF(AB2&gt;Inputs!$Q$13,0,AA20*(1+Inputs!$Q$15))</f>
        <v>0</v>
      </c>
      <c r="AC20" s="386">
        <f>IF(AC2&gt;Inputs!$Q$13,0,AB20*(1+Inputs!$Q$15))</f>
        <v>0</v>
      </c>
      <c r="AD20" s="386">
        <f>IF(AD2&gt;Inputs!$Q$13,0,AC20*(1+Inputs!$Q$15))</f>
        <v>0</v>
      </c>
      <c r="AE20" s="386">
        <f>IF(AE2&gt;Inputs!$Q$13,0,AD20*(1+Inputs!$Q$15))</f>
        <v>0</v>
      </c>
      <c r="AF20" s="386">
        <f>IF(AF2&gt;Inputs!$Q$13,0,AE20*(1+Inputs!$Q$15))</f>
        <v>0</v>
      </c>
      <c r="AG20" s="386">
        <f>IF(AG2&gt;Inputs!$Q$13,0,AF20*(1+Inputs!$Q$15))</f>
        <v>0</v>
      </c>
      <c r="AH20" s="386">
        <f>IF(AH2&gt;Inputs!$Q$13,0,AG20*(1+Inputs!$Q$15))</f>
        <v>0</v>
      </c>
      <c r="AI20" s="386">
        <f>IF(AI2&gt;Inputs!$Q$13,0,AH20*(1+Inputs!$Q$15))</f>
        <v>0</v>
      </c>
      <c r="AJ20" s="386">
        <f>IF(AJ2&gt;Inputs!$Q$13,0,AI20*(1+Inputs!$Q$15))</f>
        <v>0</v>
      </c>
    </row>
    <row r="21" spans="2:36" s="29" customFormat="1" ht="16">
      <c r="B21" s="36" t="s">
        <v>254</v>
      </c>
      <c r="C21" s="36"/>
      <c r="D21" s="36"/>
      <c r="E21" s="79" t="s">
        <v>52</v>
      </c>
      <c r="F21" s="92"/>
      <c r="G21" s="90">
        <f>SUM(G19:G20)</f>
        <v>12.849999999999998</v>
      </c>
      <c r="H21" s="90">
        <f t="shared" ref="H21:AJ21" si="2">SUM(H19:H20)</f>
        <v>12.849999999999998</v>
      </c>
      <c r="I21" s="90">
        <f t="shared" si="2"/>
        <v>12.849999999999998</v>
      </c>
      <c r="J21" s="90">
        <f t="shared" si="2"/>
        <v>12.849999999999998</v>
      </c>
      <c r="K21" s="90">
        <f t="shared" si="2"/>
        <v>12.849999999999998</v>
      </c>
      <c r="L21" s="90">
        <f t="shared" si="2"/>
        <v>12.849999999999998</v>
      </c>
      <c r="M21" s="90">
        <f t="shared" si="2"/>
        <v>12.849999999999998</v>
      </c>
      <c r="N21" s="90">
        <f t="shared" si="2"/>
        <v>12.849999999999998</v>
      </c>
      <c r="O21" s="90">
        <f t="shared" si="2"/>
        <v>12.849999999999998</v>
      </c>
      <c r="P21" s="90">
        <f t="shared" si="2"/>
        <v>12.849999999999998</v>
      </c>
      <c r="Q21" s="90">
        <f t="shared" si="2"/>
        <v>12.849999999999998</v>
      </c>
      <c r="R21" s="90">
        <f t="shared" si="2"/>
        <v>12.849999999999998</v>
      </c>
      <c r="S21" s="90">
        <f t="shared" si="2"/>
        <v>12.849999999999998</v>
      </c>
      <c r="T21" s="90">
        <f t="shared" si="2"/>
        <v>12.849999999999998</v>
      </c>
      <c r="U21" s="90">
        <f t="shared" si="2"/>
        <v>12.849999999999998</v>
      </c>
      <c r="V21" s="90">
        <f t="shared" si="2"/>
        <v>12.849999999999998</v>
      </c>
      <c r="W21" s="90">
        <f t="shared" si="2"/>
        <v>12.849999999999998</v>
      </c>
      <c r="X21" s="90">
        <f t="shared" si="2"/>
        <v>12.849999999999998</v>
      </c>
      <c r="Y21" s="90">
        <f t="shared" si="2"/>
        <v>12.849999999999998</v>
      </c>
      <c r="Z21" s="90">
        <f t="shared" si="2"/>
        <v>12.849999999999998</v>
      </c>
      <c r="AA21" s="90">
        <f t="shared" si="2"/>
        <v>0</v>
      </c>
      <c r="AB21" s="90">
        <f t="shared" si="2"/>
        <v>0</v>
      </c>
      <c r="AC21" s="90">
        <f t="shared" si="2"/>
        <v>0</v>
      </c>
      <c r="AD21" s="90">
        <f t="shared" si="2"/>
        <v>0</v>
      </c>
      <c r="AE21" s="90">
        <f t="shared" si="2"/>
        <v>0</v>
      </c>
      <c r="AF21" s="90">
        <f t="shared" si="2"/>
        <v>0</v>
      </c>
      <c r="AG21" s="90">
        <f t="shared" si="2"/>
        <v>0</v>
      </c>
      <c r="AH21" s="90">
        <f t="shared" si="2"/>
        <v>0</v>
      </c>
      <c r="AI21" s="90">
        <f t="shared" si="2"/>
        <v>0</v>
      </c>
      <c r="AJ21" s="90">
        <f t="shared" si="2"/>
        <v>0</v>
      </c>
    </row>
    <row r="22" spans="2:36" s="29" customFormat="1" ht="16">
      <c r="B22" s="36" t="s">
        <v>102</v>
      </c>
      <c r="C22" s="36"/>
      <c r="D22" s="36"/>
      <c r="E22" s="76" t="s">
        <v>0</v>
      </c>
      <c r="F22" s="36"/>
      <c r="G22" s="37">
        <f t="shared" ref="G22:AJ22" si="3">(G$21*G$10)/100</f>
        <v>3328013.7899999996</v>
      </c>
      <c r="H22" s="37">
        <f t="shared" si="3"/>
        <v>3328013.7899999996</v>
      </c>
      <c r="I22" s="37">
        <f t="shared" si="3"/>
        <v>3328013.79</v>
      </c>
      <c r="J22" s="37">
        <f t="shared" si="3"/>
        <v>3328013.7899999986</v>
      </c>
      <c r="K22" s="37">
        <f t="shared" si="3"/>
        <v>3328013.79</v>
      </c>
      <c r="L22" s="37">
        <f t="shared" si="3"/>
        <v>3328013.7899999996</v>
      </c>
      <c r="M22" s="37">
        <f t="shared" si="3"/>
        <v>3328013.79</v>
      </c>
      <c r="N22" s="37">
        <f t="shared" si="3"/>
        <v>3328013.7899999996</v>
      </c>
      <c r="O22" s="37">
        <f t="shared" si="3"/>
        <v>3328013.7899999986</v>
      </c>
      <c r="P22" s="37">
        <f t="shared" si="3"/>
        <v>3328013.79</v>
      </c>
      <c r="Q22" s="37">
        <f t="shared" si="3"/>
        <v>3328013.79</v>
      </c>
      <c r="R22" s="37">
        <f t="shared" si="3"/>
        <v>3328013.79</v>
      </c>
      <c r="S22" s="37">
        <f t="shared" si="3"/>
        <v>3328013.7899999996</v>
      </c>
      <c r="T22" s="37">
        <f t="shared" si="3"/>
        <v>3328013.7899999996</v>
      </c>
      <c r="U22" s="37">
        <f t="shared" si="3"/>
        <v>3328013.79</v>
      </c>
      <c r="V22" s="37">
        <f t="shared" si="3"/>
        <v>3328013.79</v>
      </c>
      <c r="W22" s="37">
        <f t="shared" si="3"/>
        <v>3328013.7899999986</v>
      </c>
      <c r="X22" s="37">
        <f t="shared" si="3"/>
        <v>3328013.79</v>
      </c>
      <c r="Y22" s="37">
        <f t="shared" si="3"/>
        <v>3328013.79</v>
      </c>
      <c r="Z22" s="37">
        <f t="shared" si="3"/>
        <v>3328013.79</v>
      </c>
      <c r="AA22" s="37">
        <f t="shared" si="3"/>
        <v>0</v>
      </c>
      <c r="AB22" s="37">
        <f t="shared" si="3"/>
        <v>0</v>
      </c>
      <c r="AC22" s="37">
        <f t="shared" si="3"/>
        <v>0</v>
      </c>
      <c r="AD22" s="37">
        <f t="shared" si="3"/>
        <v>0</v>
      </c>
      <c r="AE22" s="37">
        <f t="shared" si="3"/>
        <v>0</v>
      </c>
      <c r="AF22" s="37">
        <f t="shared" si="3"/>
        <v>0</v>
      </c>
      <c r="AG22" s="37">
        <f t="shared" si="3"/>
        <v>0</v>
      </c>
      <c r="AH22" s="37">
        <f t="shared" si="3"/>
        <v>0</v>
      </c>
      <c r="AI22" s="37">
        <f t="shared" si="3"/>
        <v>0</v>
      </c>
      <c r="AJ22" s="37">
        <f t="shared" si="3"/>
        <v>0</v>
      </c>
    </row>
    <row r="23" spans="2:36" s="29" customFormat="1" ht="16">
      <c r="B23" s="36" t="s">
        <v>215</v>
      </c>
      <c r="C23" s="36"/>
      <c r="D23" s="36"/>
      <c r="E23" s="79" t="s">
        <v>52</v>
      </c>
      <c r="F23" s="36"/>
      <c r="G23" s="90">
        <f>IF(Inputs!$Q$13=Inputs!$G$19,0,IF(Inputs!$Q$18="Year One",Inputs!$Q$19,'Complex Inputs'!$D129))</f>
        <v>0</v>
      </c>
      <c r="H23" s="90">
        <f>IF(H$2&gt;Inputs!$G$19,0,IF(Inputs!$Q$18="Year One",G$23*(1+Inputs!$Q$20),'Complex Inputs'!$D130))</f>
        <v>0</v>
      </c>
      <c r="I23" s="90">
        <f>IF(I$2&gt;Inputs!$G$19,0,IF(Inputs!$Q$18="Year One",H$23*(1+Inputs!$Q$20),'Complex Inputs'!$D131))</f>
        <v>0</v>
      </c>
      <c r="J23" s="90">
        <f>IF(J$2&gt;Inputs!$G$19,0,IF(Inputs!$Q$18="Year One",I$23*(1+Inputs!$Q$20),'Complex Inputs'!$D132))</f>
        <v>0</v>
      </c>
      <c r="K23" s="90">
        <f>IF(K$2&gt;Inputs!$G$19,0,IF(Inputs!$Q$18="Year One",J$23*(1+Inputs!$Q$20),'Complex Inputs'!$D133))</f>
        <v>0</v>
      </c>
      <c r="L23" s="90">
        <f>IF(L$2&gt;Inputs!$G$19,0,IF(Inputs!$Q$18="Year One",K$23*(1+Inputs!$Q$20),'Complex Inputs'!$D134))</f>
        <v>0</v>
      </c>
      <c r="M23" s="90">
        <f>IF(M$2&gt;Inputs!$G$19,0,IF(Inputs!$Q$18="Year One",L$23*(1+Inputs!$Q$20),'Complex Inputs'!$D135))</f>
        <v>0</v>
      </c>
      <c r="N23" s="90">
        <f>IF(N$2&gt;Inputs!$G$19,0,IF(Inputs!$Q$18="Year One",M$23*(1+Inputs!$Q$20),'Complex Inputs'!$D136))</f>
        <v>0</v>
      </c>
      <c r="O23" s="90">
        <f>IF(O$2&gt;Inputs!$G$19,0,IF(Inputs!$Q$18="Year One",N$23*(1+Inputs!$Q$20),'Complex Inputs'!$D137))</f>
        <v>0</v>
      </c>
      <c r="P23" s="90">
        <f>IF(P$2&gt;Inputs!$G$19,0,IF(Inputs!$Q$18="Year One",O$23*(1+Inputs!$Q$20),'Complex Inputs'!$D138))</f>
        <v>0</v>
      </c>
      <c r="Q23" s="90">
        <f>IF(Q$2&gt;Inputs!$G$19,0,IF(Inputs!$Q$18="Year One",P$23*(1+Inputs!$Q$20),'Complex Inputs'!$D139))</f>
        <v>0</v>
      </c>
      <c r="R23" s="90">
        <f>IF(R$2&gt;Inputs!$G$19,0,IF(Inputs!$Q$18="Year One",Q$23*(1+Inputs!$Q$20),'Complex Inputs'!$D140))</f>
        <v>0</v>
      </c>
      <c r="S23" s="90">
        <f>IF(S$2&gt;Inputs!$G$19,0,IF(Inputs!$Q$18="Year One",R$23*(1+Inputs!$Q$20),'Complex Inputs'!$D141))</f>
        <v>0</v>
      </c>
      <c r="T23" s="90">
        <f>IF(T$2&gt;Inputs!$G$19,0,IF(Inputs!$Q$18="Year One",S$23*(1+Inputs!$Q$20),'Complex Inputs'!$D142))</f>
        <v>0</v>
      </c>
      <c r="U23" s="90">
        <f>IF(U$2&gt;Inputs!$G$19,0,IF(Inputs!$Q$18="Year One",T$23*(1+Inputs!$Q$20),'Complex Inputs'!$D143))</f>
        <v>0</v>
      </c>
      <c r="V23" s="90">
        <f>IF(V$2&gt;Inputs!$G$19,0,IF(Inputs!$Q$18="Year One",U$23*(1+Inputs!$Q$20),'Complex Inputs'!$D144))</f>
        <v>0</v>
      </c>
      <c r="W23" s="90">
        <f>IF(W$2&gt;Inputs!$G$19,0,IF(Inputs!$Q$18="Year One",V$23*(1+Inputs!$Q$20),'Complex Inputs'!$D145))</f>
        <v>0</v>
      </c>
      <c r="X23" s="90">
        <f>IF(X$2&gt;Inputs!$G$19,0,IF(Inputs!$Q$18="Year One",W$23*(1+Inputs!$Q$20),'Complex Inputs'!$D146))</f>
        <v>0</v>
      </c>
      <c r="Y23" s="90">
        <f>IF(Y$2&gt;Inputs!$G$19,0,IF(Inputs!$Q$18="Year One",X$23*(1+Inputs!$Q$20),'Complex Inputs'!$D147))</f>
        <v>0</v>
      </c>
      <c r="Z23" s="90">
        <f>IF(Z$2&gt;Inputs!$G$19,0,IF(Inputs!$Q$18="Year One",Y$23*(1+Inputs!$Q$20),'Complex Inputs'!$D148))</f>
        <v>0</v>
      </c>
      <c r="AA23" s="90">
        <f>IF(AA$2&gt;Inputs!$G$19,0,IF(Inputs!$Q$18="Year One",Z$23*(1+Inputs!$Q$20),'Complex Inputs'!$D149))</f>
        <v>0</v>
      </c>
      <c r="AB23" s="90">
        <f>IF(AB$2&gt;Inputs!$G$19,0,IF(Inputs!$Q$18="Year One",AA$23*(1+Inputs!$Q$20),'Complex Inputs'!$D150))</f>
        <v>0</v>
      </c>
      <c r="AC23" s="90">
        <f>IF(AC$2&gt;Inputs!$G$19,0,IF(Inputs!$Q$18="Year One",AB$23*(1+Inputs!$Q$20),'Complex Inputs'!$D151))</f>
        <v>0</v>
      </c>
      <c r="AD23" s="90">
        <f>IF(AD$2&gt;Inputs!$G$19,0,IF(Inputs!$Q$18="Year One",AC$23*(1+Inputs!$Q$20),'Complex Inputs'!$D152))</f>
        <v>0</v>
      </c>
      <c r="AE23" s="90">
        <f>IF(AE$2&gt;Inputs!$G$19,0,IF(Inputs!$Q$18="Year One",AD$23*(1+Inputs!$Q$20),'Complex Inputs'!$D153))</f>
        <v>0</v>
      </c>
      <c r="AF23" s="90">
        <f>IF(AF$2&gt;Inputs!$G$19,0,IF(Inputs!$Q$18="Year One",AE$23*(1+Inputs!$Q$20),'Complex Inputs'!$D154))</f>
        <v>0</v>
      </c>
      <c r="AG23" s="90">
        <f>IF(AG$2&gt;Inputs!$G$19,0,IF(Inputs!$Q$18="Year One",AF$23*(1+Inputs!$Q$20),'Complex Inputs'!$D155))</f>
        <v>0</v>
      </c>
      <c r="AH23" s="90">
        <f>IF(AH$2&gt;Inputs!$G$19,0,IF(Inputs!$Q$18="Year One",AG$23*(1+Inputs!$Q$20),'Complex Inputs'!$D156))</f>
        <v>0</v>
      </c>
      <c r="AI23" s="90">
        <f>IF(AI$2&gt;Inputs!$G$19,0,IF(Inputs!$Q$18="Year One",AH$23*(1+Inputs!$Q$20),'Complex Inputs'!$D157))</f>
        <v>0</v>
      </c>
      <c r="AJ23" s="90">
        <f>IF(AJ$2&gt;Inputs!$G$19,0,IF(Inputs!$Q$18="Year One",AI$23*(1+Inputs!$Q$20),'Complex Inputs'!$D158))</f>
        <v>0</v>
      </c>
    </row>
    <row r="24" spans="2:36" s="29" customFormat="1" ht="16">
      <c r="B24" s="36" t="s">
        <v>214</v>
      </c>
      <c r="C24" s="36"/>
      <c r="D24" s="36"/>
      <c r="E24" s="76" t="s">
        <v>0</v>
      </c>
      <c r="F24" s="36"/>
      <c r="G24" s="37">
        <f>IF(G$2&lt;=Inputs!$Q$13,0,IF(G$2&gt;Inputs!$G$19,0,(G$23*G$10)/100))</f>
        <v>0</v>
      </c>
      <c r="H24" s="37">
        <f>IF(H$2&lt;=Inputs!$Q$13,0,IF(H$2&gt;Inputs!$G$19,0,(H$23*H$10)/100))</f>
        <v>0</v>
      </c>
      <c r="I24" s="37">
        <f>IF(I$2&lt;=Inputs!$Q$13,0,IF(I$2&gt;Inputs!$G$19,0,(I$23*I$10)/100))</f>
        <v>0</v>
      </c>
      <c r="J24" s="37">
        <f>IF(J$2&lt;=Inputs!$Q$13,0,IF(J$2&gt;Inputs!$G$19,0,(J$23*J$10)/100))</f>
        <v>0</v>
      </c>
      <c r="K24" s="37">
        <f>IF(K$2&lt;=Inputs!$Q$13,0,IF(K$2&gt;Inputs!$G$19,0,(K$23*K$10)/100))</f>
        <v>0</v>
      </c>
      <c r="L24" s="37">
        <f>IF(L$2&lt;=Inputs!$Q$13,0,IF(L$2&gt;Inputs!$G$19,0,(L$23*L$10)/100))</f>
        <v>0</v>
      </c>
      <c r="M24" s="37">
        <f>IF(M$2&lt;=Inputs!$Q$13,0,IF(M$2&gt;Inputs!$G$19,0,(M$23*M$10)/100))</f>
        <v>0</v>
      </c>
      <c r="N24" s="37">
        <f>IF(N$2&lt;=Inputs!$Q$13,0,IF(N$2&gt;Inputs!$G$19,0,(N$23*N$10)/100))</f>
        <v>0</v>
      </c>
      <c r="O24" s="37">
        <f>IF(O$2&lt;=Inputs!$Q$13,0,IF(O$2&gt;Inputs!$G$19,0,(O$23*O$10)/100))</f>
        <v>0</v>
      </c>
      <c r="P24" s="37">
        <f>IF(P$2&lt;=Inputs!$Q$13,0,IF(P$2&gt;Inputs!$G$19,0,(P$23*P$10)/100))</f>
        <v>0</v>
      </c>
      <c r="Q24" s="37">
        <f>IF(Q$2&lt;=Inputs!$Q$13,0,IF(Q$2&gt;Inputs!$G$19,0,(Q$23*Q$10)/100))</f>
        <v>0</v>
      </c>
      <c r="R24" s="37">
        <f>IF(R$2&lt;=Inputs!$Q$13,0,IF(R$2&gt;Inputs!$G$19,0,(R$23*R$10)/100))</f>
        <v>0</v>
      </c>
      <c r="S24" s="37">
        <f>IF(S$2&lt;=Inputs!$Q$13,0,IF(S$2&gt;Inputs!$G$19,0,(S$23*S$10)/100))</f>
        <v>0</v>
      </c>
      <c r="T24" s="37">
        <f>IF(T$2&lt;=Inputs!$Q$13,0,IF(T$2&gt;Inputs!$G$19,0,(T$23*T$10)/100))</f>
        <v>0</v>
      </c>
      <c r="U24" s="37">
        <f>IF(U$2&lt;=Inputs!$Q$13,0,IF(U$2&gt;Inputs!$G$19,0,(U$23*U$10)/100))</f>
        <v>0</v>
      </c>
      <c r="V24" s="37">
        <f>IF(V$2&lt;=Inputs!$Q$13,0,IF(V$2&gt;Inputs!$G$19,0,(V$23*V$10)/100))</f>
        <v>0</v>
      </c>
      <c r="W24" s="37">
        <f>IF(W$2&lt;=Inputs!$Q$13,0,IF(W$2&gt;Inputs!$G$19,0,(W$23*W$10)/100))</f>
        <v>0</v>
      </c>
      <c r="X24" s="37">
        <f>IF(X$2&lt;=Inputs!$Q$13,0,IF(X$2&gt;Inputs!$G$19,0,(X$23*X$10)/100))</f>
        <v>0</v>
      </c>
      <c r="Y24" s="37">
        <f>IF(Y$2&lt;=Inputs!$Q$13,0,IF(Y$2&gt;Inputs!$G$19,0,(Y$23*Y$10)/100))</f>
        <v>0</v>
      </c>
      <c r="Z24" s="37">
        <f>IF(Z$2&lt;=Inputs!$Q$13,0,IF(Z$2&gt;Inputs!$G$19,0,(Z$23*Z$10)/100))</f>
        <v>0</v>
      </c>
      <c r="AA24" s="37">
        <f>IF(AA$2&lt;=Inputs!$Q$13,0,IF(AA$2&gt;Inputs!$G$19,0,(AA$23*AA$10)/100))</f>
        <v>0</v>
      </c>
      <c r="AB24" s="37">
        <f>IF(AB$2&lt;=Inputs!$Q$13,0,IF(AB$2&gt;Inputs!$G$19,0,(AB$23*AB$10)/100))</f>
        <v>0</v>
      </c>
      <c r="AC24" s="37">
        <f>IF(AC$2&lt;=Inputs!$Q$13,0,IF(AC$2&gt;Inputs!$G$19,0,(AC$23*AC$10)/100))</f>
        <v>0</v>
      </c>
      <c r="AD24" s="37">
        <f>IF(AD$2&lt;=Inputs!$Q$13,0,IF(AD$2&gt;Inputs!$G$19,0,(AD$23*AD$10)/100))</f>
        <v>0</v>
      </c>
      <c r="AE24" s="37">
        <f>IF(AE$2&lt;=Inputs!$Q$13,0,IF(AE$2&gt;Inputs!$G$19,0,(AE$23*AE$10)/100))</f>
        <v>0</v>
      </c>
      <c r="AF24" s="37">
        <f>IF(AF$2&lt;=Inputs!$Q$13,0,IF(AF$2&gt;Inputs!$G$19,0,(AF$23*AF$10)/100))</f>
        <v>0</v>
      </c>
      <c r="AG24" s="37">
        <f>IF(AG$2&lt;=Inputs!$Q$13,0,IF(AG$2&gt;Inputs!$G$19,0,(AG$23*AG$10)/100))</f>
        <v>0</v>
      </c>
      <c r="AH24" s="37">
        <f>IF(AH$2&lt;=Inputs!$Q$13,0,IF(AH$2&gt;Inputs!$G$19,0,(AH$23*AH$10)/100))</f>
        <v>0</v>
      </c>
      <c r="AI24" s="37">
        <f>IF(AI$2&lt;=Inputs!$Q$13,0,IF(AI$2&gt;Inputs!$G$19,0,(AI$23*AI$10)/100))</f>
        <v>0</v>
      </c>
      <c r="AJ24" s="37">
        <f>IF(AJ$2&lt;=Inputs!$Q$13,0,IF(AJ$2&gt;Inputs!$G$19,0,(AJ$23*AJ$10)/100))</f>
        <v>0</v>
      </c>
    </row>
    <row r="25" spans="2:36" s="29" customFormat="1" ht="16">
      <c r="B25" s="36" t="s">
        <v>103</v>
      </c>
      <c r="C25" s="36"/>
      <c r="D25" s="36"/>
      <c r="E25" s="79" t="s">
        <v>52</v>
      </c>
      <c r="F25" s="36"/>
      <c r="G25" s="90">
        <f>IF(OR(Inputs!$Q$24="Cost-Based",Inputs!$Q$24="Neither"),0,IF(AND(Inputs!$Q$29="Cash",G$2&lt;=Inputs!$Q$32),Inputs!$Q$30*G$16,0))</f>
        <v>0</v>
      </c>
      <c r="H25" s="90">
        <f>IF(OR(Inputs!$Q$24="Cost-Based",Inputs!$Q$24="Neither"),0,IF(AND(Inputs!$Q$29="Cash",H$2&lt;=Inputs!$Q$32),Inputs!$Q$30*H$16,0))</f>
        <v>0</v>
      </c>
      <c r="I25" s="90">
        <f>IF(OR(Inputs!$Q$24="Cost-Based",Inputs!$Q$24="Neither"),0,IF(AND(Inputs!$Q$29="Cash",I$2&lt;=Inputs!$Q$32),Inputs!$Q$30*I$16,0))</f>
        <v>0</v>
      </c>
      <c r="J25" s="90">
        <f>IF(OR(Inputs!$Q$24="Cost-Based",Inputs!$Q$24="Neither"),0,IF(AND(Inputs!$Q$29="Cash",J$2&lt;=Inputs!$Q$32),Inputs!$Q$30*J$16,0))</f>
        <v>0</v>
      </c>
      <c r="K25" s="90">
        <f>IF(OR(Inputs!$Q$24="Cost-Based",Inputs!$Q$24="Neither"),0,IF(AND(Inputs!$Q$29="Cash",K$2&lt;=Inputs!$Q$32),Inputs!$Q$30*K$16,0))</f>
        <v>0</v>
      </c>
      <c r="L25" s="90">
        <f>IF(OR(Inputs!$Q$24="Cost-Based",Inputs!$Q$24="Neither"),0,IF(AND(Inputs!$Q$29="Cash",L$2&lt;=Inputs!$Q$32),Inputs!$Q$30*L$16,0))</f>
        <v>0</v>
      </c>
      <c r="M25" s="90">
        <f>IF(OR(Inputs!$Q$24="Cost-Based",Inputs!$Q$24="Neither"),0,IF(AND(Inputs!$Q$29="Cash",M$2&lt;=Inputs!$Q$32),Inputs!$Q$30*M$16,0))</f>
        <v>0</v>
      </c>
      <c r="N25" s="90">
        <f>IF(OR(Inputs!$Q$24="Cost-Based",Inputs!$Q$24="Neither"),0,IF(AND(Inputs!$Q$29="Cash",N$2&lt;=Inputs!$Q$32),Inputs!$Q$30*N$16,0))</f>
        <v>0</v>
      </c>
      <c r="O25" s="90">
        <f>IF(OR(Inputs!$Q$24="Cost-Based",Inputs!$Q$24="Neither"),0,IF(AND(Inputs!$Q$29="Cash",O$2&lt;=Inputs!$Q$32),Inputs!$Q$30*O$16,0))</f>
        <v>0</v>
      </c>
      <c r="P25" s="90">
        <f>IF(OR(Inputs!$Q$24="Cost-Based",Inputs!$Q$24="Neither"),0,IF(AND(Inputs!$Q$29="Cash",P$2&lt;=Inputs!$Q$32),Inputs!$Q$30*P$16,0))</f>
        <v>0</v>
      </c>
      <c r="Q25" s="90">
        <f>IF(OR(Inputs!$Q$24="Cost-Based",Inputs!$Q$24="Neither"),0,IF(AND(Inputs!$Q$29="Cash",Q$2&lt;=Inputs!$Q$32),Inputs!$Q$30*Q$16,0))</f>
        <v>0</v>
      </c>
      <c r="R25" s="90">
        <f>IF(OR(Inputs!$Q$24="Cost-Based",Inputs!$Q$24="Neither"),0,IF(AND(Inputs!$Q$29="Cash",R$2&lt;=Inputs!$Q$32),Inputs!$Q$30*R$16,0))</f>
        <v>0</v>
      </c>
      <c r="S25" s="90">
        <f>IF(OR(Inputs!$Q$24="Cost-Based",Inputs!$Q$24="Neither"),0,IF(AND(Inputs!$Q$29="Cash",S$2&lt;=Inputs!$Q$32),Inputs!$Q$30*S$16,0))</f>
        <v>0</v>
      </c>
      <c r="T25" s="90">
        <f>IF(OR(Inputs!$Q$24="Cost-Based",Inputs!$Q$24="Neither"),0,IF(AND(Inputs!$Q$29="Cash",T$2&lt;=Inputs!$Q$32),Inputs!$Q$30*T$16,0))</f>
        <v>0</v>
      </c>
      <c r="U25" s="90">
        <f>IF(OR(Inputs!$Q$24="Cost-Based",Inputs!$Q$24="Neither"),0,IF(AND(Inputs!$Q$29="Cash",U$2&lt;=Inputs!$Q$32),Inputs!$Q$30*U$16,0))</f>
        <v>0</v>
      </c>
      <c r="V25" s="90">
        <f>IF(OR(Inputs!$Q$24="Cost-Based",Inputs!$Q$24="Neither"),0,IF(AND(Inputs!$Q$29="Cash",V$2&lt;=Inputs!$Q$32),Inputs!$Q$30*V$16,0))</f>
        <v>0</v>
      </c>
      <c r="W25" s="90">
        <f>IF(OR(Inputs!$Q$24="Cost-Based",Inputs!$Q$24="Neither"),0,IF(AND(Inputs!$Q$29="Cash",W$2&lt;=Inputs!$Q$32),Inputs!$Q$30*W$16,0))</f>
        <v>0</v>
      </c>
      <c r="X25" s="90">
        <f>IF(OR(Inputs!$Q$24="Cost-Based",Inputs!$Q$24="Neither"),0,IF(AND(Inputs!$Q$29="Cash",X$2&lt;=Inputs!$Q$32),Inputs!$Q$30*X$16,0))</f>
        <v>0</v>
      </c>
      <c r="Y25" s="90">
        <f>IF(OR(Inputs!$Q$24="Cost-Based",Inputs!$Q$24="Neither"),0,IF(AND(Inputs!$Q$29="Cash",Y$2&lt;=Inputs!$Q$32),Inputs!$Q$30*Y$16,0))</f>
        <v>0</v>
      </c>
      <c r="Z25" s="90">
        <f>IF(OR(Inputs!$Q$24="Cost-Based",Inputs!$Q$24="Neither"),0,IF(AND(Inputs!$Q$29="Cash",Z$2&lt;=Inputs!$Q$32),Inputs!$Q$30*Z$16,0))</f>
        <v>0</v>
      </c>
      <c r="AA25" s="90">
        <f>IF(OR(Inputs!$Q$24="Cost-Based",Inputs!$Q$24="Neither"),0,IF(AND(Inputs!$Q$29="Cash",AA$2&lt;=Inputs!$Q$32),Inputs!$Q$30*AA$16,0))</f>
        <v>0</v>
      </c>
      <c r="AB25" s="90">
        <f>IF(OR(Inputs!$Q$24="Cost-Based",Inputs!$Q$24="Neither"),0,IF(AND(Inputs!$Q$29="Cash",AB$2&lt;=Inputs!$Q$32),Inputs!$Q$30*AB$16,0))</f>
        <v>0</v>
      </c>
      <c r="AC25" s="90">
        <f>IF(OR(Inputs!$Q$24="Cost-Based",Inputs!$Q$24="Neither"),0,IF(AND(Inputs!$Q$29="Cash",AC$2&lt;=Inputs!$Q$32),Inputs!$Q$30*AC$16,0))</f>
        <v>0</v>
      </c>
      <c r="AD25" s="90">
        <f>IF(OR(Inputs!$Q$24="Cost-Based",Inputs!$Q$24="Neither"),0,IF(AND(Inputs!$Q$29="Cash",AD$2&lt;=Inputs!$Q$32),Inputs!$Q$30*AD$16,0))</f>
        <v>0</v>
      </c>
      <c r="AE25" s="90">
        <f>IF(OR(Inputs!$Q$24="Cost-Based",Inputs!$Q$24="Neither"),0,IF(AND(Inputs!$Q$29="Cash",AE$2&lt;=Inputs!$Q$32),Inputs!$Q$30*AE$16,0))</f>
        <v>0</v>
      </c>
      <c r="AF25" s="90">
        <f>IF(OR(Inputs!$Q$24="Cost-Based",Inputs!$Q$24="Neither"),0,IF(AND(Inputs!$Q$29="Cash",AF$2&lt;=Inputs!$Q$32),Inputs!$Q$30*AF$16,0))</f>
        <v>0</v>
      </c>
      <c r="AG25" s="90">
        <f>IF(OR(Inputs!$Q$24="Cost-Based",Inputs!$Q$24="Neither"),0,IF(AND(Inputs!$Q$29="Cash",AG$2&lt;=Inputs!$Q$32),Inputs!$Q$30*AG$16,0))</f>
        <v>0</v>
      </c>
      <c r="AH25" s="90">
        <f>IF(OR(Inputs!$Q$24="Cost-Based",Inputs!$Q$24="Neither"),0,IF(AND(Inputs!$Q$29="Cash",AH$2&lt;=Inputs!$Q$32),Inputs!$Q$30*AH$16,0))</f>
        <v>0</v>
      </c>
      <c r="AI25" s="90">
        <f>IF(OR(Inputs!$Q$24="Cost-Based",Inputs!$Q$24="Neither"),0,IF(AND(Inputs!$Q$29="Cash",AI$2&lt;=Inputs!$Q$32),Inputs!$Q$30*AI$16,0))</f>
        <v>0</v>
      </c>
      <c r="AJ25" s="90">
        <f>IF(OR(Inputs!$Q$24="Cost-Based",Inputs!$Q$24="Neither"),0,IF(AND(Inputs!$Q$29="Cash",AJ$2&lt;=Inputs!$Q$32),Inputs!$Q$30*AJ$16,0))</f>
        <v>0</v>
      </c>
    </row>
    <row r="26" spans="2:36" s="29" customFormat="1" ht="16">
      <c r="B26" s="36" t="s">
        <v>104</v>
      </c>
      <c r="C26" s="36"/>
      <c r="D26" s="36"/>
      <c r="E26" s="76" t="s">
        <v>0</v>
      </c>
      <c r="F26" s="36"/>
      <c r="G26" s="37">
        <f t="shared" ref="G26:AJ26" si="4">(G$25*G$10)/100</f>
        <v>0</v>
      </c>
      <c r="H26" s="37">
        <f t="shared" si="4"/>
        <v>0</v>
      </c>
      <c r="I26" s="37">
        <f t="shared" si="4"/>
        <v>0</v>
      </c>
      <c r="J26" s="37">
        <f t="shared" si="4"/>
        <v>0</v>
      </c>
      <c r="K26" s="37">
        <f t="shared" si="4"/>
        <v>0</v>
      </c>
      <c r="L26" s="37">
        <f t="shared" si="4"/>
        <v>0</v>
      </c>
      <c r="M26" s="37">
        <f t="shared" si="4"/>
        <v>0</v>
      </c>
      <c r="N26" s="37">
        <f t="shared" si="4"/>
        <v>0</v>
      </c>
      <c r="O26" s="37">
        <f t="shared" si="4"/>
        <v>0</v>
      </c>
      <c r="P26" s="37">
        <f t="shared" si="4"/>
        <v>0</v>
      </c>
      <c r="Q26" s="37">
        <f t="shared" si="4"/>
        <v>0</v>
      </c>
      <c r="R26" s="37">
        <f t="shared" si="4"/>
        <v>0</v>
      </c>
      <c r="S26" s="37">
        <f t="shared" si="4"/>
        <v>0</v>
      </c>
      <c r="T26" s="37">
        <f t="shared" si="4"/>
        <v>0</v>
      </c>
      <c r="U26" s="37">
        <f t="shared" si="4"/>
        <v>0</v>
      </c>
      <c r="V26" s="37">
        <f t="shared" si="4"/>
        <v>0</v>
      </c>
      <c r="W26" s="37">
        <f t="shared" si="4"/>
        <v>0</v>
      </c>
      <c r="X26" s="37">
        <f t="shared" si="4"/>
        <v>0</v>
      </c>
      <c r="Y26" s="37">
        <f t="shared" si="4"/>
        <v>0</v>
      </c>
      <c r="Z26" s="37">
        <f t="shared" si="4"/>
        <v>0</v>
      </c>
      <c r="AA26" s="37">
        <f t="shared" si="4"/>
        <v>0</v>
      </c>
      <c r="AB26" s="37">
        <f t="shared" si="4"/>
        <v>0</v>
      </c>
      <c r="AC26" s="37">
        <f t="shared" si="4"/>
        <v>0</v>
      </c>
      <c r="AD26" s="37">
        <f t="shared" si="4"/>
        <v>0</v>
      </c>
      <c r="AE26" s="37">
        <f t="shared" si="4"/>
        <v>0</v>
      </c>
      <c r="AF26" s="37">
        <f t="shared" si="4"/>
        <v>0</v>
      </c>
      <c r="AG26" s="37">
        <f t="shared" si="4"/>
        <v>0</v>
      </c>
      <c r="AH26" s="37">
        <f t="shared" si="4"/>
        <v>0</v>
      </c>
      <c r="AI26" s="37">
        <f t="shared" si="4"/>
        <v>0</v>
      </c>
      <c r="AJ26" s="37">
        <f t="shared" si="4"/>
        <v>0</v>
      </c>
    </row>
    <row r="27" spans="2:36" s="38" customFormat="1" ht="16">
      <c r="B27" s="36" t="s">
        <v>105</v>
      </c>
      <c r="C27" s="36"/>
      <c r="D27" s="36"/>
      <c r="E27" s="79" t="s">
        <v>52</v>
      </c>
      <c r="F27" s="36"/>
      <c r="G27" s="90">
        <f>IF(OR(Inputs!$Q$38="Cost-Based",Inputs!$Q$38="Neither"),0,IF(AND(Inputs!$Q$43="Cash",G$2&lt;=Inputs!$Q$48),Inputs!$Q$46*G$17*Inputs!$Q$47,0))</f>
        <v>0</v>
      </c>
      <c r="H27" s="90">
        <f>IF(OR(Inputs!$Q$38="Cost-Based",Inputs!$Q$38="Neither"),0,IF(AND(Inputs!$Q$43="Cash",H$2&lt;=Inputs!$Q$48),Inputs!$Q$46*H$17*Inputs!$Q$47,0))</f>
        <v>0</v>
      </c>
      <c r="I27" s="90">
        <f>IF(OR(Inputs!$Q$38="Cost-Based",Inputs!$Q$38="Neither"),0,IF(AND(Inputs!$Q$43="Cash",I$2&lt;=Inputs!$Q$48),Inputs!$Q$46*I$17*Inputs!$Q$47,0))</f>
        <v>0</v>
      </c>
      <c r="J27" s="90">
        <f>IF(OR(Inputs!$Q$38="Cost-Based",Inputs!$Q$38="Neither"),0,IF(AND(Inputs!$Q$43="Cash",J$2&lt;=Inputs!$Q$48),Inputs!$Q$46*J$17*Inputs!$Q$47,0))</f>
        <v>0</v>
      </c>
      <c r="K27" s="90">
        <f>IF(OR(Inputs!$Q$38="Cost-Based",Inputs!$Q$38="Neither"),0,IF(AND(Inputs!$Q$43="Cash",K$2&lt;=Inputs!$Q$48),Inputs!$Q$46*K$17*Inputs!$Q$47,0))</f>
        <v>0</v>
      </c>
      <c r="L27" s="90">
        <f>IF(OR(Inputs!$Q$38="Cost-Based",Inputs!$Q$38="Neither"),0,IF(AND(Inputs!$Q$43="Cash",L$2&lt;=Inputs!$Q$48),Inputs!$Q$46*L$17*Inputs!$Q$47,0))</f>
        <v>0</v>
      </c>
      <c r="M27" s="90">
        <f>IF(OR(Inputs!$Q$38="Cost-Based",Inputs!$Q$38="Neither"),0,IF(AND(Inputs!$Q$43="Cash",M$2&lt;=Inputs!$Q$48),Inputs!$Q$46*M$17*Inputs!$Q$47,0))</f>
        <v>0</v>
      </c>
      <c r="N27" s="90">
        <f>IF(OR(Inputs!$Q$38="Cost-Based",Inputs!$Q$38="Neither"),0,IF(AND(Inputs!$Q$43="Cash",N$2&lt;=Inputs!$Q$48),Inputs!$Q$46*N$17*Inputs!$Q$47,0))</f>
        <v>0</v>
      </c>
      <c r="O27" s="90">
        <f>IF(OR(Inputs!$Q$38="Cost-Based",Inputs!$Q$38="Neither"),0,IF(AND(Inputs!$Q$43="Cash",O$2&lt;=Inputs!$Q$48),Inputs!$Q$46*O$17*Inputs!$Q$47,0))</f>
        <v>0</v>
      </c>
      <c r="P27" s="90">
        <f>IF(OR(Inputs!$Q$38="Cost-Based",Inputs!$Q$38="Neither"),0,IF(AND(Inputs!$Q$43="Cash",P$2&lt;=Inputs!$Q$48),Inputs!$Q$46*P$17*Inputs!$Q$47,0))</f>
        <v>0</v>
      </c>
      <c r="Q27" s="90">
        <f>IF(OR(Inputs!$Q$38="Cost-Based",Inputs!$Q$38="Neither"),0,IF(AND(Inputs!$Q$43="Cash",Q$2&lt;=Inputs!$Q$48),Inputs!$Q$46*Q$17*Inputs!$Q$47,0))</f>
        <v>0</v>
      </c>
      <c r="R27" s="90">
        <f>IF(OR(Inputs!$Q$38="Cost-Based",Inputs!$Q$38="Neither"),0,IF(AND(Inputs!$Q$43="Cash",R$2&lt;=Inputs!$Q$48),Inputs!$Q$46*R$17*Inputs!$Q$47,0))</f>
        <v>0</v>
      </c>
      <c r="S27" s="90">
        <f>IF(OR(Inputs!$Q$38="Cost-Based",Inputs!$Q$38="Neither"),0,IF(AND(Inputs!$Q$43="Cash",S$2&lt;=Inputs!$Q$48),Inputs!$Q$46*S$17*Inputs!$Q$47,0))</f>
        <v>0</v>
      </c>
      <c r="T27" s="90">
        <f>IF(OR(Inputs!$Q$38="Cost-Based",Inputs!$Q$38="Neither"),0,IF(AND(Inputs!$Q$43="Cash",T$2&lt;=Inputs!$Q$48),Inputs!$Q$46*T$17*Inputs!$Q$47,0))</f>
        <v>0</v>
      </c>
      <c r="U27" s="90">
        <f>IF(OR(Inputs!$Q$38="Cost-Based",Inputs!$Q$38="Neither"),0,IF(AND(Inputs!$Q$43="Cash",U$2&lt;=Inputs!$Q$48),Inputs!$Q$46*U$17*Inputs!$Q$47,0))</f>
        <v>0</v>
      </c>
      <c r="V27" s="90">
        <f>IF(OR(Inputs!$Q$38="Cost-Based",Inputs!$Q$38="Neither"),0,IF(AND(Inputs!$Q$43="Cash",V$2&lt;=Inputs!$Q$48),Inputs!$Q$46*V$17*Inputs!$Q$47,0))</f>
        <v>0</v>
      </c>
      <c r="W27" s="90">
        <f>IF(OR(Inputs!$Q$38="Cost-Based",Inputs!$Q$38="Neither"),0,IF(AND(Inputs!$Q$43="Cash",W$2&lt;=Inputs!$Q$48),Inputs!$Q$46*W$17*Inputs!$Q$47,0))</f>
        <v>0</v>
      </c>
      <c r="X27" s="90">
        <f>IF(OR(Inputs!$Q$38="Cost-Based",Inputs!$Q$38="Neither"),0,IF(AND(Inputs!$Q$43="Cash",X$2&lt;=Inputs!$Q$48),Inputs!$Q$46*X$17*Inputs!$Q$47,0))</f>
        <v>0</v>
      </c>
      <c r="Y27" s="90">
        <f>IF(OR(Inputs!$Q$38="Cost-Based",Inputs!$Q$38="Neither"),0,IF(AND(Inputs!$Q$43="Cash",Y$2&lt;=Inputs!$Q$48),Inputs!$Q$46*Y$17*Inputs!$Q$47,0))</f>
        <v>0</v>
      </c>
      <c r="Z27" s="90">
        <f>IF(OR(Inputs!$Q$38="Cost-Based",Inputs!$Q$38="Neither"),0,IF(AND(Inputs!$Q$43="Cash",Z$2&lt;=Inputs!$Q$48),Inputs!$Q$46*Z$17*Inputs!$Q$47,0))</f>
        <v>0</v>
      </c>
      <c r="AA27" s="90">
        <f>IF(OR(Inputs!$Q$38="Cost-Based",Inputs!$Q$38="Neither"),0,IF(AND(Inputs!$Q$43="Cash",AA$2&lt;=Inputs!$Q$48),Inputs!$Q$46*AA$17*Inputs!$Q$47,0))</f>
        <v>0</v>
      </c>
      <c r="AB27" s="90">
        <f>IF(OR(Inputs!$Q$38="Cost-Based",Inputs!$Q$38="Neither"),0,IF(AND(Inputs!$Q$43="Cash",AB$2&lt;=Inputs!$Q$48),Inputs!$Q$46*AB$17*Inputs!$Q$47,0))</f>
        <v>0</v>
      </c>
      <c r="AC27" s="90">
        <f>IF(OR(Inputs!$Q$38="Cost-Based",Inputs!$Q$38="Neither"),0,IF(AND(Inputs!$Q$43="Cash",AC$2&lt;=Inputs!$Q$48),Inputs!$Q$46*AC$17*Inputs!$Q$47,0))</f>
        <v>0</v>
      </c>
      <c r="AD27" s="90">
        <f>IF(OR(Inputs!$Q$38="Cost-Based",Inputs!$Q$38="Neither"),0,IF(AND(Inputs!$Q$43="Cash",AD$2&lt;=Inputs!$Q$48),Inputs!$Q$46*AD$17*Inputs!$Q$47,0))</f>
        <v>0</v>
      </c>
      <c r="AE27" s="90">
        <f>IF(OR(Inputs!$Q$38="Cost-Based",Inputs!$Q$38="Neither"),0,IF(AND(Inputs!$Q$43="Cash",AE$2&lt;=Inputs!$Q$48),Inputs!$Q$46*AE$17*Inputs!$Q$47,0))</f>
        <v>0</v>
      </c>
      <c r="AF27" s="90">
        <f>IF(OR(Inputs!$Q$38="Cost-Based",Inputs!$Q$38="Neither"),0,IF(AND(Inputs!$Q$43="Cash",AF$2&lt;=Inputs!$Q$48),Inputs!$Q$46*AF$17*Inputs!$Q$47,0))</f>
        <v>0</v>
      </c>
      <c r="AG27" s="90">
        <f>IF(OR(Inputs!$Q$38="Cost-Based",Inputs!$Q$38="Neither"),0,IF(AND(Inputs!$Q$43="Cash",AG$2&lt;=Inputs!$Q$48),Inputs!$Q$46*AG$17*Inputs!$Q$47,0))</f>
        <v>0</v>
      </c>
      <c r="AH27" s="90">
        <f>IF(OR(Inputs!$Q$38="Cost-Based",Inputs!$Q$38="Neither"),0,IF(AND(Inputs!$Q$43="Cash",AH$2&lt;=Inputs!$Q$48),Inputs!$Q$46*AH$17*Inputs!$Q$47,0))</f>
        <v>0</v>
      </c>
      <c r="AI27" s="90">
        <f>IF(OR(Inputs!$Q$38="Cost-Based",Inputs!$Q$38="Neither"),0,IF(AND(Inputs!$Q$43="Cash",AI$2&lt;=Inputs!$Q$48),Inputs!$Q$46*AI$17*Inputs!$Q$47,0))</f>
        <v>0</v>
      </c>
      <c r="AJ27" s="90">
        <f>IF(OR(Inputs!$Q$38="Cost-Based",Inputs!$Q$38="Neither"),0,IF(AND(Inputs!$Q$43="Cash",AJ$2&lt;=Inputs!$Q$48),Inputs!$Q$46*AJ$17*Inputs!$Q$47,0))</f>
        <v>0</v>
      </c>
    </row>
    <row r="28" spans="2:36" s="38" customFormat="1" ht="16">
      <c r="B28" s="36" t="s">
        <v>106</v>
      </c>
      <c r="C28" s="36"/>
      <c r="D28" s="36"/>
      <c r="E28" s="76" t="s">
        <v>0</v>
      </c>
      <c r="F28" s="36"/>
      <c r="G28" s="37">
        <f>IF(Inputs!$Q$44=0,(G$27*G$10)/100,MIN(Inputs!$Q$44,(G$27*G$10)/100))</f>
        <v>0</v>
      </c>
      <c r="H28" s="37">
        <f>IF(Inputs!$Q$44=0,(H$27*H$10)/100,MIN(Inputs!$Q$44,(H$27*H$10)/100))</f>
        <v>0</v>
      </c>
      <c r="I28" s="37">
        <f>IF(Inputs!$Q$44=0,(I$27*I$10)/100,MIN(Inputs!$Q$44,(I$27*I$10)/100))</f>
        <v>0</v>
      </c>
      <c r="J28" s="37">
        <f>IF(Inputs!$Q$44=0,(J$27*J$10)/100,MIN(Inputs!$Q$44,(J$27*J$10)/100))</f>
        <v>0</v>
      </c>
      <c r="K28" s="37">
        <f>IF(Inputs!$Q$44=0,(K$27*K$10)/100,MIN(Inputs!$Q$44,(K$27*K$10)/100))</f>
        <v>0</v>
      </c>
      <c r="L28" s="37">
        <f>IF(Inputs!$Q$44=0,(L$27*L$10)/100,MIN(Inputs!$Q$44,(L$27*L$10)/100))</f>
        <v>0</v>
      </c>
      <c r="M28" s="37">
        <f>IF(Inputs!$Q$44=0,(M$27*M$10)/100,MIN(Inputs!$Q$44,(M$27*M$10)/100))</f>
        <v>0</v>
      </c>
      <c r="N28" s="37">
        <f>IF(Inputs!$Q$44=0,(N$27*N$10)/100,MIN(Inputs!$Q$44,(N$27*N$10)/100))</f>
        <v>0</v>
      </c>
      <c r="O28" s="37">
        <f>IF(Inputs!$Q$44=0,(O$27*O$10)/100,MIN(Inputs!$Q$44,(O$27*O$10)/100))</f>
        <v>0</v>
      </c>
      <c r="P28" s="37">
        <f>IF(Inputs!$Q$44=0,(P$27*P$10)/100,MIN(Inputs!$Q$44,(P$27*P$10)/100))</f>
        <v>0</v>
      </c>
      <c r="Q28" s="37">
        <f>IF(Inputs!$Q$44=0,(Q$27*Q$10)/100,MIN(Inputs!$Q$44,(Q$27*Q$10)/100))</f>
        <v>0</v>
      </c>
      <c r="R28" s="37">
        <f>IF(Inputs!$Q$44=0,(R$27*R$10)/100,MIN(Inputs!$Q$44,(R$27*R$10)/100))</f>
        <v>0</v>
      </c>
      <c r="S28" s="37">
        <f>IF(Inputs!$Q$44=0,(S$27*S$10)/100,MIN(Inputs!$Q$44,(S$27*S$10)/100))</f>
        <v>0</v>
      </c>
      <c r="T28" s="37">
        <f>IF(Inputs!$Q$44=0,(T$27*T$10)/100,MIN(Inputs!$Q$44,(T$27*T$10)/100))</f>
        <v>0</v>
      </c>
      <c r="U28" s="37">
        <f>IF(Inputs!$Q$44=0,(U$27*U$10)/100,MIN(Inputs!$Q$44,(U$27*U$10)/100))</f>
        <v>0</v>
      </c>
      <c r="V28" s="37">
        <f>IF(Inputs!$Q$44=0,(V$27*V$10)/100,MIN(Inputs!$Q$44,(V$27*V$10)/100))</f>
        <v>0</v>
      </c>
      <c r="W28" s="37">
        <f>IF(Inputs!$Q$44=0,(W$27*W$10)/100,MIN(Inputs!$Q$44,(W$27*W$10)/100))</f>
        <v>0</v>
      </c>
      <c r="X28" s="37">
        <f>IF(Inputs!$Q$44=0,(X$27*X$10)/100,MIN(Inputs!$Q$44,(X$27*X$10)/100))</f>
        <v>0</v>
      </c>
      <c r="Y28" s="37">
        <f>IF(Inputs!$Q$44=0,(Y$27*Y$10)/100,MIN(Inputs!$Q$44,(Y$27*Y$10)/100))</f>
        <v>0</v>
      </c>
      <c r="Z28" s="37">
        <f>IF(Inputs!$Q$44=0,(Z$27*Z$10)/100,MIN(Inputs!$Q$44,(Z$27*Z$10)/100))</f>
        <v>0</v>
      </c>
      <c r="AA28" s="37">
        <f>IF(Inputs!$Q$44=0,(AA$27*AA$10)/100,MIN(Inputs!$Q$44,(AA$27*AA$10)/100))</f>
        <v>0</v>
      </c>
      <c r="AB28" s="37">
        <f>IF(Inputs!$Q$44=0,(AB$27*AB$10)/100,MIN(Inputs!$Q$44,(AB$27*AB$10)/100))</f>
        <v>0</v>
      </c>
      <c r="AC28" s="37">
        <f>IF(Inputs!$Q$44=0,(AC$27*AC$10)/100,MIN(Inputs!$Q$44,(AC$27*AC$10)/100))</f>
        <v>0</v>
      </c>
      <c r="AD28" s="37">
        <f>IF(Inputs!$Q$44=0,(AD$27*AD$10)/100,MIN(Inputs!$Q$44,(AD$27*AD$10)/100))</f>
        <v>0</v>
      </c>
      <c r="AE28" s="37">
        <f>IF(Inputs!$Q$44=0,(AE$27*AE$10)/100,MIN(Inputs!$Q$44,(AE$27*AE$10)/100))</f>
        <v>0</v>
      </c>
      <c r="AF28" s="37">
        <f>IF(Inputs!$Q$44=0,(AF$27*AF$10)/100,MIN(Inputs!$Q$44,(AF$27*AF$10)/100))</f>
        <v>0</v>
      </c>
      <c r="AG28" s="37">
        <f>IF(Inputs!$Q$44=0,(AG$27*AG$10)/100,MIN(Inputs!$Q$44,(AG$27*AG$10)/100))</f>
        <v>0</v>
      </c>
      <c r="AH28" s="37">
        <f>IF(Inputs!$Q$44=0,(AH$27*AH$10)/100,MIN(Inputs!$Q$44,(AH$27*AH$10)/100))</f>
        <v>0</v>
      </c>
      <c r="AI28" s="37">
        <f>IF(Inputs!$Q$44=0,(AI$27*AI$10)/100,MIN(Inputs!$Q$44,(AI$27*AI$10)/100))</f>
        <v>0</v>
      </c>
      <c r="AJ28" s="37">
        <f>IF(Inputs!$Q$44=0,(AJ$27*AJ$10)/100,MIN(Inputs!$Q$44,(AJ$27*AJ$10)/100))</f>
        <v>0</v>
      </c>
    </row>
    <row r="29" spans="2:36" s="38" customFormat="1" ht="16">
      <c r="B29" s="36" t="s">
        <v>178</v>
      </c>
      <c r="C29" s="36"/>
      <c r="D29" s="36"/>
      <c r="E29" s="76" t="s">
        <v>0</v>
      </c>
      <c r="F29" s="36"/>
      <c r="G29" s="726">
        <f>G218</f>
        <v>22184.324224411441</v>
      </c>
      <c r="H29" s="726">
        <f t="shared" ref="H29:AJ29" si="5">H218</f>
        <v>22184.324224411441</v>
      </c>
      <c r="I29" s="726">
        <f t="shared" si="5"/>
        <v>22184.324224411441</v>
      </c>
      <c r="J29" s="726">
        <f t="shared" si="5"/>
        <v>22184.324224411441</v>
      </c>
      <c r="K29" s="726">
        <f t="shared" si="5"/>
        <v>22184.324224411441</v>
      </c>
      <c r="L29" s="726">
        <f t="shared" si="5"/>
        <v>22184.324224411441</v>
      </c>
      <c r="M29" s="726">
        <f t="shared" si="5"/>
        <v>22184.324224411441</v>
      </c>
      <c r="N29" s="726">
        <f t="shared" si="5"/>
        <v>22184.324224411441</v>
      </c>
      <c r="O29" s="726">
        <f t="shared" si="5"/>
        <v>22184.324224411441</v>
      </c>
      <c r="P29" s="726">
        <f t="shared" si="5"/>
        <v>22184.324224411441</v>
      </c>
      <c r="Q29" s="726">
        <f t="shared" si="5"/>
        <v>22184.324224411441</v>
      </c>
      <c r="R29" s="726">
        <f t="shared" si="5"/>
        <v>22184.324224411441</v>
      </c>
      <c r="S29" s="726">
        <f t="shared" si="5"/>
        <v>22184.324224411441</v>
      </c>
      <c r="T29" s="726">
        <f t="shared" si="5"/>
        <v>19072.654355067902</v>
      </c>
      <c r="U29" s="726">
        <f t="shared" si="5"/>
        <v>15960.984485724361</v>
      </c>
      <c r="V29" s="726">
        <f t="shared" si="5"/>
        <v>15960.984485724361</v>
      </c>
      <c r="W29" s="726">
        <f t="shared" si="5"/>
        <v>15960.984485724361</v>
      </c>
      <c r="X29" s="726">
        <f t="shared" si="5"/>
        <v>15960.984485724361</v>
      </c>
      <c r="Y29" s="726">
        <f t="shared" si="5"/>
        <v>15960.984485724361</v>
      </c>
      <c r="Z29" s="726">
        <f t="shared" si="5"/>
        <v>7980.4922428621803</v>
      </c>
      <c r="AA29" s="726">
        <f t="shared" si="5"/>
        <v>0</v>
      </c>
      <c r="AB29" s="726">
        <f t="shared" si="5"/>
        <v>0</v>
      </c>
      <c r="AC29" s="726">
        <f t="shared" si="5"/>
        <v>0</v>
      </c>
      <c r="AD29" s="726">
        <f t="shared" si="5"/>
        <v>0</v>
      </c>
      <c r="AE29" s="726">
        <f t="shared" si="5"/>
        <v>0</v>
      </c>
      <c r="AF29" s="726">
        <f t="shared" si="5"/>
        <v>0</v>
      </c>
      <c r="AG29" s="726">
        <f t="shared" si="5"/>
        <v>0</v>
      </c>
      <c r="AH29" s="726">
        <f t="shared" si="5"/>
        <v>0</v>
      </c>
      <c r="AI29" s="726">
        <f t="shared" si="5"/>
        <v>0</v>
      </c>
      <c r="AJ29" s="726">
        <f t="shared" si="5"/>
        <v>0</v>
      </c>
    </row>
    <row r="30" spans="2:36" s="36" customFormat="1" ht="16">
      <c r="B30" s="39" t="s">
        <v>443</v>
      </c>
      <c r="C30" s="39"/>
      <c r="D30" s="39"/>
      <c r="E30" s="80" t="s">
        <v>0</v>
      </c>
      <c r="F30" s="39"/>
      <c r="G30" s="737">
        <f>G11*(Inputs!$Q$9*G$12)</f>
        <v>0</v>
      </c>
      <c r="H30" s="737">
        <f>H11*(Inputs!$Q$9*H$12)</f>
        <v>0</v>
      </c>
      <c r="I30" s="737">
        <f>I11*(Inputs!$Q$9*I$12)</f>
        <v>0</v>
      </c>
      <c r="J30" s="737">
        <f>J11*(Inputs!$Q$9*J$12)</f>
        <v>0</v>
      </c>
      <c r="K30" s="737">
        <f>K11*(Inputs!$Q$9*K$12)</f>
        <v>0</v>
      </c>
      <c r="L30" s="737">
        <f>L11*(Inputs!$Q$9*L$12)</f>
        <v>0</v>
      </c>
      <c r="M30" s="737">
        <f>M11*(Inputs!$Q$9*M$12)</f>
        <v>0</v>
      </c>
      <c r="N30" s="737">
        <f>N11*(Inputs!$Q$9*N$12)</f>
        <v>0</v>
      </c>
      <c r="O30" s="737">
        <f>O11*(Inputs!$Q$9*O$12)</f>
        <v>0</v>
      </c>
      <c r="P30" s="737">
        <f>P11*(Inputs!$Q$9*P$12)</f>
        <v>0</v>
      </c>
      <c r="Q30" s="737">
        <f>Q11*(Inputs!$Q$9*Q$12)</f>
        <v>0</v>
      </c>
      <c r="R30" s="737">
        <f>R11*(Inputs!$Q$9*R$12)</f>
        <v>0</v>
      </c>
      <c r="S30" s="737">
        <f>S11*(Inputs!$Q$9*S$12)</f>
        <v>0</v>
      </c>
      <c r="T30" s="737">
        <f>T11*(Inputs!$Q$9*T$12)</f>
        <v>0</v>
      </c>
      <c r="U30" s="737">
        <f>U11*(Inputs!$Q$9*U$12)</f>
        <v>0</v>
      </c>
      <c r="V30" s="737">
        <f>V11*(Inputs!$Q$9*V$12)</f>
        <v>0</v>
      </c>
      <c r="W30" s="737">
        <f>W11*(Inputs!$Q$9*W$12)</f>
        <v>0</v>
      </c>
      <c r="X30" s="737">
        <f>X11*(Inputs!$Q$9*X$12)</f>
        <v>0</v>
      </c>
      <c r="Y30" s="737">
        <f>Y11*(Inputs!$Q$9*Y$12)</f>
        <v>0</v>
      </c>
      <c r="Z30" s="737">
        <f>Z11*(Inputs!$Q$9*Z$12)</f>
        <v>0</v>
      </c>
      <c r="AA30" s="737">
        <f>AA11*(Inputs!$Q$9*AA$12)</f>
        <v>0</v>
      </c>
      <c r="AB30" s="737">
        <f>AB11*(Inputs!$Q$9*AB$12)</f>
        <v>0</v>
      </c>
      <c r="AC30" s="737">
        <f>AC11*(Inputs!$Q$9*AC$12)</f>
        <v>0</v>
      </c>
      <c r="AD30" s="737">
        <f>AD11*(Inputs!$Q$9*AD$12)</f>
        <v>0</v>
      </c>
      <c r="AE30" s="737">
        <f>AE11*(Inputs!$Q$9*AE$12)</f>
        <v>0</v>
      </c>
      <c r="AF30" s="737">
        <f>AF11*(Inputs!$Q$9*AF$12)</f>
        <v>0</v>
      </c>
      <c r="AG30" s="737">
        <f>AG11*(Inputs!$Q$9*AG$12)</f>
        <v>0</v>
      </c>
      <c r="AH30" s="737">
        <f>AH11*(Inputs!$Q$9*AH$12)</f>
        <v>0</v>
      </c>
      <c r="AI30" s="737">
        <f>AI11*(Inputs!$Q$9*AI$12)</f>
        <v>0</v>
      </c>
      <c r="AJ30" s="737">
        <f>AJ11*(Inputs!$Q$9*AJ$12)</f>
        <v>0</v>
      </c>
    </row>
    <row r="31" spans="2:36" s="31" customFormat="1" ht="16">
      <c r="B31" s="49" t="s">
        <v>113</v>
      </c>
      <c r="C31" s="49"/>
      <c r="D31" s="49"/>
      <c r="E31" s="738" t="s">
        <v>0</v>
      </c>
      <c r="F31" s="49"/>
      <c r="G31" s="739">
        <f>G22+G24+G26+G28+G29+G30</f>
        <v>3350198.1142244111</v>
      </c>
      <c r="H31" s="739">
        <f t="shared" ref="H31:AJ31" si="6">H22+H24+H26+H28+H29+H30</f>
        <v>3350198.1142244111</v>
      </c>
      <c r="I31" s="739">
        <f t="shared" si="6"/>
        <v>3350198.1142244115</v>
      </c>
      <c r="J31" s="739">
        <f t="shared" si="6"/>
        <v>3350198.1142244102</v>
      </c>
      <c r="K31" s="739">
        <f t="shared" si="6"/>
        <v>3350198.1142244115</v>
      </c>
      <c r="L31" s="739">
        <f t="shared" si="6"/>
        <v>3350198.1142244111</v>
      </c>
      <c r="M31" s="739">
        <f t="shared" si="6"/>
        <v>3350198.1142244115</v>
      </c>
      <c r="N31" s="739">
        <f t="shared" si="6"/>
        <v>3350198.1142244111</v>
      </c>
      <c r="O31" s="739">
        <f t="shared" si="6"/>
        <v>3350198.1142244102</v>
      </c>
      <c r="P31" s="739">
        <f t="shared" si="6"/>
        <v>3350198.1142244115</v>
      </c>
      <c r="Q31" s="739">
        <f t="shared" si="6"/>
        <v>3350198.1142244115</v>
      </c>
      <c r="R31" s="739">
        <f t="shared" si="6"/>
        <v>3350198.1142244115</v>
      </c>
      <c r="S31" s="739">
        <f t="shared" si="6"/>
        <v>3350198.1142244111</v>
      </c>
      <c r="T31" s="739">
        <f t="shared" si="6"/>
        <v>3347086.4443550673</v>
      </c>
      <c r="U31" s="739">
        <f t="shared" si="6"/>
        <v>3343974.7744857245</v>
      </c>
      <c r="V31" s="739">
        <f t="shared" si="6"/>
        <v>3343974.7744857245</v>
      </c>
      <c r="W31" s="739">
        <f t="shared" si="6"/>
        <v>3343974.7744857231</v>
      </c>
      <c r="X31" s="739">
        <f t="shared" si="6"/>
        <v>3343974.7744857245</v>
      </c>
      <c r="Y31" s="739">
        <f t="shared" si="6"/>
        <v>3343974.7744857245</v>
      </c>
      <c r="Z31" s="739">
        <f t="shared" si="6"/>
        <v>3335994.282242862</v>
      </c>
      <c r="AA31" s="739">
        <f t="shared" si="6"/>
        <v>0</v>
      </c>
      <c r="AB31" s="739">
        <f t="shared" si="6"/>
        <v>0</v>
      </c>
      <c r="AC31" s="739">
        <f t="shared" si="6"/>
        <v>0</v>
      </c>
      <c r="AD31" s="739">
        <f t="shared" si="6"/>
        <v>0</v>
      </c>
      <c r="AE31" s="739">
        <f t="shared" si="6"/>
        <v>0</v>
      </c>
      <c r="AF31" s="739">
        <f t="shared" si="6"/>
        <v>0</v>
      </c>
      <c r="AG31" s="739">
        <f t="shared" si="6"/>
        <v>0</v>
      </c>
      <c r="AH31" s="739">
        <f t="shared" si="6"/>
        <v>0</v>
      </c>
      <c r="AI31" s="739">
        <f t="shared" si="6"/>
        <v>0</v>
      </c>
      <c r="AJ31" s="739">
        <f t="shared" si="6"/>
        <v>0</v>
      </c>
    </row>
    <row r="32" spans="2:36" s="31" customFormat="1" ht="16">
      <c r="E32" s="82"/>
    </row>
    <row r="33" spans="2:36" s="31" customFormat="1" ht="16">
      <c r="B33" s="49" t="s">
        <v>65</v>
      </c>
      <c r="C33" s="49"/>
      <c r="D33" s="49"/>
      <c r="E33" s="82"/>
    </row>
    <row r="34" spans="2:36" s="31" customFormat="1" ht="16">
      <c r="B34" s="31" t="s">
        <v>107</v>
      </c>
      <c r="E34" s="76"/>
      <c r="F34" s="740"/>
      <c r="G34" s="320">
        <v>1</v>
      </c>
      <c r="H34" s="83">
        <f>G34*(1+IF(G$2&lt;=Inputs!$G$38,Inputs!$G$37,Inputs!$G$39))</f>
        <v>1.02</v>
      </c>
      <c r="I34" s="83">
        <f>H34*(1+IF(H$2&lt;=Inputs!$G$38,Inputs!$G$37,Inputs!$G$39))</f>
        <v>1.0404</v>
      </c>
      <c r="J34" s="83">
        <f>I34*(1+IF(I$2&lt;=Inputs!$G$38,Inputs!$G$37,Inputs!$G$39))</f>
        <v>1.0612079999999999</v>
      </c>
      <c r="K34" s="83">
        <f>J34*(1+IF(J$2&lt;=Inputs!$G$38,Inputs!$G$37,Inputs!$G$39))</f>
        <v>1.08243216</v>
      </c>
      <c r="L34" s="83">
        <f>K34*(1+IF(K$2&lt;=Inputs!$G$38,Inputs!$G$37,Inputs!$G$39))</f>
        <v>1.1040808032</v>
      </c>
      <c r="M34" s="83">
        <f>L34*(1+IF(L$2&lt;=Inputs!$G$38,Inputs!$G$37,Inputs!$G$39))</f>
        <v>1.1261624192640001</v>
      </c>
      <c r="N34" s="83">
        <f>M34*(1+IF(M$2&lt;=Inputs!$G$38,Inputs!$G$37,Inputs!$G$39))</f>
        <v>1.14868566764928</v>
      </c>
      <c r="O34" s="83">
        <f>N34*(1+IF(N$2&lt;=Inputs!$G$38,Inputs!$G$37,Inputs!$G$39))</f>
        <v>1.1716593810022657</v>
      </c>
      <c r="P34" s="83">
        <f>O34*(1+IF(O$2&lt;=Inputs!$G$38,Inputs!$G$37,Inputs!$G$39))</f>
        <v>1.1950925686223111</v>
      </c>
      <c r="Q34" s="83">
        <f>P34*(1+IF(P$2&lt;=Inputs!$G$38,Inputs!$G$37,Inputs!$G$39))</f>
        <v>1.2189944199947573</v>
      </c>
      <c r="R34" s="83">
        <f>Q34*(1+IF(Q$2&lt;=Inputs!$G$38,Inputs!$G$37,Inputs!$G$39))</f>
        <v>1.2433743083946525</v>
      </c>
      <c r="S34" s="83">
        <f>R34*(1+IF(R$2&lt;=Inputs!$G$38,Inputs!$G$37,Inputs!$G$39))</f>
        <v>1.2682417945625455</v>
      </c>
      <c r="T34" s="83">
        <f>S34*(1+IF(S$2&lt;=Inputs!$G$38,Inputs!$G$37,Inputs!$G$39))</f>
        <v>1.2936066304537963</v>
      </c>
      <c r="U34" s="83">
        <f>T34*(1+IF(T$2&lt;=Inputs!$G$38,Inputs!$G$37,Inputs!$G$39))</f>
        <v>1.3194787630628724</v>
      </c>
      <c r="V34" s="83">
        <f>U34*(1+IF(U$2&lt;=Inputs!$G$38,Inputs!$G$37,Inputs!$G$39))</f>
        <v>1.3458683383241299</v>
      </c>
      <c r="W34" s="83">
        <f>V34*(1+IF(V$2&lt;=Inputs!$G$38,Inputs!$G$37,Inputs!$G$39))</f>
        <v>1.3727857050906125</v>
      </c>
      <c r="X34" s="83">
        <f>W34*(1+IF(W$2&lt;=Inputs!$G$38,Inputs!$G$37,Inputs!$G$39))</f>
        <v>1.4002414191924248</v>
      </c>
      <c r="Y34" s="83">
        <f>X34*(1+IF(X$2&lt;=Inputs!$G$38,Inputs!$G$37,Inputs!$G$39))</f>
        <v>1.4282462475762734</v>
      </c>
      <c r="Z34" s="83">
        <f>Y34*(1+IF(Y$2&lt;=Inputs!$G$38,Inputs!$G$37,Inputs!$G$39))</f>
        <v>1.4568111725277988</v>
      </c>
      <c r="AA34" s="83">
        <f>Z34*(1+IF(Z$2&lt;=Inputs!$G$38,Inputs!$G$37,Inputs!$G$39))</f>
        <v>1.4859473959783549</v>
      </c>
      <c r="AB34" s="83">
        <f>AA34*(1+IF(AA$2&lt;=Inputs!$G$38,Inputs!$G$37,Inputs!$G$39))</f>
        <v>1.5156663438979221</v>
      </c>
      <c r="AC34" s="83">
        <f>AB34*(1+IF(AB$2&lt;=Inputs!$G$38,Inputs!$G$37,Inputs!$G$39))</f>
        <v>1.5459796707758806</v>
      </c>
      <c r="AD34" s="83">
        <f>AC34*(1+IF(AC$2&lt;=Inputs!$G$38,Inputs!$G$37,Inputs!$G$39))</f>
        <v>1.5768992641913981</v>
      </c>
      <c r="AE34" s="83">
        <f>AD34*(1+IF(AD$2&lt;=Inputs!$G$38,Inputs!$G$37,Inputs!$G$39))</f>
        <v>1.6084372494752261</v>
      </c>
      <c r="AF34" s="83">
        <f>AE34*(1+IF(AE$2&lt;=Inputs!$G$38,Inputs!$G$37,Inputs!$G$39))</f>
        <v>1.6406059944647307</v>
      </c>
      <c r="AG34" s="83">
        <f>AF34*(1+IF(AF$2&lt;=Inputs!$G$38,Inputs!$G$37,Inputs!$G$39))</f>
        <v>1.6734181143540252</v>
      </c>
      <c r="AH34" s="83">
        <f>AG34*(1+IF(AG$2&lt;=Inputs!$G$38,Inputs!$G$37,Inputs!$G$39))</f>
        <v>1.7068864766411058</v>
      </c>
      <c r="AI34" s="83">
        <f>AH34*(1+IF(AH$2&lt;=Inputs!$G$38,Inputs!$G$37,Inputs!$G$39))</f>
        <v>1.7410242061739281</v>
      </c>
      <c r="AJ34" s="83">
        <f>AI34*(1+IF(AI$2&lt;=Inputs!$G$38,Inputs!$G$37,Inputs!$G$39))</f>
        <v>1.7758446902974065</v>
      </c>
    </row>
    <row r="35" spans="2:36" s="31" customFormat="1" ht="16">
      <c r="B35" s="31" t="s">
        <v>449</v>
      </c>
      <c r="E35" s="76"/>
      <c r="F35" s="740"/>
      <c r="G35" s="320">
        <v>1</v>
      </c>
      <c r="H35" s="83">
        <f>G35*(1+Inputs!$G$44)</f>
        <v>1.02</v>
      </c>
      <c r="I35" s="83">
        <f>H35*(1+Inputs!$G$44)</f>
        <v>1.0404</v>
      </c>
      <c r="J35" s="83">
        <f>I35*(1+Inputs!$G$44)</f>
        <v>1.0612079999999999</v>
      </c>
      <c r="K35" s="83">
        <f>J35*(1+Inputs!$G$44)</f>
        <v>1.08243216</v>
      </c>
      <c r="L35" s="83">
        <f>K35*(1+Inputs!$G$44)</f>
        <v>1.1040808032</v>
      </c>
      <c r="M35" s="83">
        <f>L35*(1+Inputs!$G$44)</f>
        <v>1.1261624192640001</v>
      </c>
      <c r="N35" s="83">
        <f>M35*(1+Inputs!$G$44)</f>
        <v>1.14868566764928</v>
      </c>
      <c r="O35" s="83">
        <f>N35*(1+Inputs!$G$44)</f>
        <v>1.1716593810022657</v>
      </c>
      <c r="P35" s="83">
        <f>O35*(1+Inputs!$G$44)</f>
        <v>1.1950925686223111</v>
      </c>
      <c r="Q35" s="83">
        <f>P35*(1+Inputs!$G$44)</f>
        <v>1.2189944199947573</v>
      </c>
      <c r="R35" s="83">
        <f>Q35*(1+Inputs!$G$44)</f>
        <v>1.2433743083946525</v>
      </c>
      <c r="S35" s="83">
        <f>R35*(1+Inputs!$G$44)</f>
        <v>1.2682417945625455</v>
      </c>
      <c r="T35" s="83">
        <f>S35*(1+Inputs!$G$44)</f>
        <v>1.2936066304537963</v>
      </c>
      <c r="U35" s="83">
        <f>T35*(1+Inputs!$G$44)</f>
        <v>1.3194787630628724</v>
      </c>
      <c r="V35" s="83">
        <f>U35*(1+Inputs!$G$44)</f>
        <v>1.3458683383241299</v>
      </c>
      <c r="W35" s="83">
        <f>V35*(1+Inputs!$G$44)</f>
        <v>1.3727857050906125</v>
      </c>
      <c r="X35" s="83">
        <f>W35*(1+Inputs!$G$44)</f>
        <v>1.4002414191924248</v>
      </c>
      <c r="Y35" s="83">
        <f>X35*(1+Inputs!$G$44)</f>
        <v>1.4282462475762734</v>
      </c>
      <c r="Z35" s="83">
        <f>Y35*(1+Inputs!$G$44)</f>
        <v>1.4568111725277988</v>
      </c>
      <c r="AA35" s="83">
        <f>Z35*(1+Inputs!$G$44)</f>
        <v>1.4859473959783549</v>
      </c>
      <c r="AB35" s="83">
        <f>AA35*(1+Inputs!$G$44)</f>
        <v>1.5156663438979221</v>
      </c>
      <c r="AC35" s="83">
        <f>AB35*(1+Inputs!$G$44)</f>
        <v>1.5459796707758806</v>
      </c>
      <c r="AD35" s="83">
        <f>AC35*(1+Inputs!$G$44)</f>
        <v>1.5768992641913981</v>
      </c>
      <c r="AE35" s="83">
        <f>AD35*(1+Inputs!$G$44)</f>
        <v>1.6084372494752261</v>
      </c>
      <c r="AF35" s="83">
        <f>AE35*(1+Inputs!$G$44)</f>
        <v>1.6406059944647307</v>
      </c>
      <c r="AG35" s="83">
        <f>AF35*(1+Inputs!$G$44)</f>
        <v>1.6734181143540252</v>
      </c>
      <c r="AH35" s="83">
        <f>AG35*(1+Inputs!$G$44)</f>
        <v>1.7068864766411058</v>
      </c>
      <c r="AI35" s="83">
        <f>AH35*(1+Inputs!$G$44)</f>
        <v>1.7410242061739281</v>
      </c>
      <c r="AJ35" s="83">
        <f>AI35*(1+Inputs!$G$44)</f>
        <v>1.7758446902974065</v>
      </c>
    </row>
    <row r="36" spans="2:36" s="31" customFormat="1" ht="16">
      <c r="E36" s="76"/>
      <c r="F36" s="740"/>
      <c r="G36" s="88"/>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row>
    <row r="37" spans="2:36" s="31" customFormat="1" ht="16">
      <c r="B37" s="31" t="s">
        <v>108</v>
      </c>
      <c r="E37" s="76" t="s">
        <v>0</v>
      </c>
      <c r="F37" s="740"/>
      <c r="G37" s="41">
        <f>-IF(G$2&gt;Inputs!$G$19,0,Inputs!$G$35*Inputs!$G$9*G$34)</f>
        <v>-912500</v>
      </c>
      <c r="H37" s="41">
        <f>-IF(H$2&gt;Inputs!$G$19,0,Inputs!$G$35*Inputs!$G$9*H$34)</f>
        <v>-930750</v>
      </c>
      <c r="I37" s="41">
        <f>-IF(I$2&gt;Inputs!$G$19,0,Inputs!$G$35*Inputs!$G$9*I$34)</f>
        <v>-949365</v>
      </c>
      <c r="J37" s="41">
        <f>-IF(J$2&gt;Inputs!$G$19,0,Inputs!$G$35*Inputs!$G$9*J$34)</f>
        <v>-968352.29999999993</v>
      </c>
      <c r="K37" s="41">
        <f>-IF(K$2&gt;Inputs!$G$19,0,Inputs!$G$35*Inputs!$G$9*K$34)</f>
        <v>-987719.34600000002</v>
      </c>
      <c r="L37" s="41">
        <f>-IF(L$2&gt;Inputs!$G$19,0,Inputs!$G$35*Inputs!$G$9*L$34)</f>
        <v>-1007473.73292</v>
      </c>
      <c r="M37" s="41">
        <f>-IF(M$2&gt;Inputs!$G$19,0,Inputs!$G$35*Inputs!$G$9*M$34)</f>
        <v>-1027623.2075784</v>
      </c>
      <c r="N37" s="41">
        <f>-IF(N$2&gt;Inputs!$G$19,0,Inputs!$G$35*Inputs!$G$9*N$34)</f>
        <v>-1048175.671729968</v>
      </c>
      <c r="O37" s="41">
        <f>-IF(O$2&gt;Inputs!$G$19,0,Inputs!$G$35*Inputs!$G$9*O$34)</f>
        <v>-1069139.1851645675</v>
      </c>
      <c r="P37" s="41">
        <f>-IF(P$2&gt;Inputs!$G$19,0,Inputs!$G$35*Inputs!$G$9*P$34)</f>
        <v>-1090521.9688678589</v>
      </c>
      <c r="Q37" s="41">
        <f>-IF(Q$2&gt;Inputs!$G$19,0,Inputs!$G$35*Inputs!$G$9*Q$34)</f>
        <v>-1112332.4082452161</v>
      </c>
      <c r="R37" s="41">
        <f>-IF(R$2&gt;Inputs!$G$19,0,Inputs!$G$35*Inputs!$G$9*R$34)</f>
        <v>-1134579.0564101203</v>
      </c>
      <c r="S37" s="41">
        <f>-IF(S$2&gt;Inputs!$G$19,0,Inputs!$G$35*Inputs!$G$9*S$34)</f>
        <v>-1157270.6375383227</v>
      </c>
      <c r="T37" s="41">
        <f>-IF(T$2&gt;Inputs!$G$19,0,Inputs!$G$35*Inputs!$G$9*T$34)</f>
        <v>-1180416.0502890891</v>
      </c>
      <c r="U37" s="41">
        <f>-IF(U$2&gt;Inputs!$G$19,0,Inputs!$G$35*Inputs!$G$9*U$34)</f>
        <v>-1204024.371294871</v>
      </c>
      <c r="V37" s="41">
        <f>-IF(V$2&gt;Inputs!$G$19,0,Inputs!$G$35*Inputs!$G$9*V$34)</f>
        <v>-1228104.8587207685</v>
      </c>
      <c r="W37" s="41">
        <f>-IF(W$2&gt;Inputs!$G$19,0,Inputs!$G$35*Inputs!$G$9*W$34)</f>
        <v>-1252666.9558951838</v>
      </c>
      <c r="X37" s="41">
        <f>-IF(X$2&gt;Inputs!$G$19,0,Inputs!$G$35*Inputs!$G$9*X$34)</f>
        <v>-1277720.2950130876</v>
      </c>
      <c r="Y37" s="41">
        <f>-IF(Y$2&gt;Inputs!$G$19,0,Inputs!$G$35*Inputs!$G$9*Y$34)</f>
        <v>-1303274.7009133494</v>
      </c>
      <c r="Z37" s="41">
        <f>-IF(Z$2&gt;Inputs!$G$19,0,Inputs!$G$35*Inputs!$G$9*Z$34)</f>
        <v>-1329340.1949316163</v>
      </c>
      <c r="AA37" s="41">
        <f>-IF(AA$2&gt;Inputs!$G$19,0,Inputs!$G$35*Inputs!$G$9*AA$34)</f>
        <v>0</v>
      </c>
      <c r="AB37" s="41">
        <f>-IF(AB$2&gt;Inputs!$G$19,0,Inputs!$G$35*Inputs!$G$9*AB$34)</f>
        <v>0</v>
      </c>
      <c r="AC37" s="41">
        <f>-IF(AC$2&gt;Inputs!$G$19,0,Inputs!$G$35*Inputs!$G$9*AC$34)</f>
        <v>0</v>
      </c>
      <c r="AD37" s="41">
        <f>-IF(AD$2&gt;Inputs!$G$19,0,Inputs!$G$35*Inputs!$G$9*AD$34)</f>
        <v>0</v>
      </c>
      <c r="AE37" s="41">
        <f>-IF(AE$2&gt;Inputs!$G$19,0,Inputs!$G$35*Inputs!$G$9*AE$34)</f>
        <v>0</v>
      </c>
      <c r="AF37" s="41">
        <f>-IF(AF$2&gt;Inputs!$G$19,0,Inputs!$G$35*Inputs!$G$9*AF$34)</f>
        <v>0</v>
      </c>
      <c r="AG37" s="41">
        <f>-IF(AG$2&gt;Inputs!$G$19,0,Inputs!$G$35*Inputs!$G$9*AG$34)</f>
        <v>0</v>
      </c>
      <c r="AH37" s="41">
        <f>-IF(AH$2&gt;Inputs!$G$19,0,Inputs!$G$35*Inputs!$G$9*AH$34)</f>
        <v>0</v>
      </c>
      <c r="AI37" s="41">
        <f>-IF(AI$2&gt;Inputs!$G$19,0,Inputs!$G$35*Inputs!$G$9*AI$34)</f>
        <v>0</v>
      </c>
      <c r="AJ37" s="41">
        <f>-IF(AJ$2&gt;Inputs!$G$19,0,Inputs!$G$35*Inputs!$G$9*AJ$34)</f>
        <v>0</v>
      </c>
    </row>
    <row r="38" spans="2:36" s="31" customFormat="1" ht="16">
      <c r="B38" s="31" t="s">
        <v>109</v>
      </c>
      <c r="E38" s="76" t="s">
        <v>0</v>
      </c>
      <c r="G38" s="41">
        <f>-IF(G$2&gt;Inputs!$G$19,0,Inputs!$G$36/100*(Inputs!$G$9*Inputs!$G$14*8760)*G$34)</f>
        <v>0</v>
      </c>
      <c r="H38" s="41">
        <f>-IF(H$2&gt;Inputs!$G$19,0,Inputs!$G$36/100*(Inputs!$G$9*Inputs!$G$14*8760)*H$34)</f>
        <v>0</v>
      </c>
      <c r="I38" s="41">
        <f>-IF(I$2&gt;Inputs!$G$19,0,Inputs!$G$36/100*(Inputs!$G$9*Inputs!$G$14*8760)*I$34)</f>
        <v>0</v>
      </c>
      <c r="J38" s="41">
        <f>-IF(J$2&gt;Inputs!$G$19,0,Inputs!$G$36/100*(Inputs!$G$9*Inputs!$G$14*8760)*J$34)</f>
        <v>0</v>
      </c>
      <c r="K38" s="41">
        <f>-IF(K$2&gt;Inputs!$G$19,0,Inputs!$G$36/100*(Inputs!$G$9*Inputs!$G$14*8760)*K$34)</f>
        <v>0</v>
      </c>
      <c r="L38" s="41">
        <f>-IF(L$2&gt;Inputs!$G$19,0,Inputs!$G$36/100*(Inputs!$G$9*Inputs!$G$14*8760)*L$34)</f>
        <v>0</v>
      </c>
      <c r="M38" s="41">
        <f>-IF(M$2&gt;Inputs!$G$19,0,Inputs!$G$36/100*(Inputs!$G$9*Inputs!$G$14*8760)*M$34)</f>
        <v>0</v>
      </c>
      <c r="N38" s="41">
        <f>-IF(N$2&gt;Inputs!$G$19,0,Inputs!$G$36/100*(Inputs!$G$9*Inputs!$G$14*8760)*N$34)</f>
        <v>0</v>
      </c>
      <c r="O38" s="41">
        <f>-IF(O$2&gt;Inputs!$G$19,0,Inputs!$G$36/100*(Inputs!$G$9*Inputs!$G$14*8760)*O$34)</f>
        <v>0</v>
      </c>
      <c r="P38" s="41">
        <f>-IF(P$2&gt;Inputs!$G$19,0,Inputs!$G$36/100*(Inputs!$G$9*Inputs!$G$14*8760)*P$34)</f>
        <v>0</v>
      </c>
      <c r="Q38" s="41">
        <f>-IF(Q$2&gt;Inputs!$G$19,0,Inputs!$G$36/100*(Inputs!$G$9*Inputs!$G$14*8760)*Q$34)</f>
        <v>0</v>
      </c>
      <c r="R38" s="41">
        <f>-IF(R$2&gt;Inputs!$G$19,0,Inputs!$G$36/100*(Inputs!$G$9*Inputs!$G$14*8760)*R$34)</f>
        <v>0</v>
      </c>
      <c r="S38" s="41">
        <f>-IF(S$2&gt;Inputs!$G$19,0,Inputs!$G$36/100*(Inputs!$G$9*Inputs!$G$14*8760)*S$34)</f>
        <v>0</v>
      </c>
      <c r="T38" s="41">
        <f>-IF(T$2&gt;Inputs!$G$19,0,Inputs!$G$36/100*(Inputs!$G$9*Inputs!$G$14*8760)*T$34)</f>
        <v>0</v>
      </c>
      <c r="U38" s="41">
        <f>-IF(U$2&gt;Inputs!$G$19,0,Inputs!$G$36/100*(Inputs!$G$9*Inputs!$G$14*8760)*U$34)</f>
        <v>0</v>
      </c>
      <c r="V38" s="41">
        <f>-IF(V$2&gt;Inputs!$G$19,0,Inputs!$G$36/100*(Inputs!$G$9*Inputs!$G$14*8760)*V$34)</f>
        <v>0</v>
      </c>
      <c r="W38" s="41">
        <f>-IF(W$2&gt;Inputs!$G$19,0,Inputs!$G$36/100*(Inputs!$G$9*Inputs!$G$14*8760)*W$34)</f>
        <v>0</v>
      </c>
      <c r="X38" s="41">
        <f>-IF(X$2&gt;Inputs!$G$19,0,Inputs!$G$36/100*(Inputs!$G$9*Inputs!$G$14*8760)*X$34)</f>
        <v>0</v>
      </c>
      <c r="Y38" s="41">
        <f>-IF(Y$2&gt;Inputs!$G$19,0,Inputs!$G$36/100*(Inputs!$G$9*Inputs!$G$14*8760)*Y$34)</f>
        <v>0</v>
      </c>
      <c r="Z38" s="41">
        <f>-IF(Z$2&gt;Inputs!$G$19,0,Inputs!$G$36/100*(Inputs!$G$9*Inputs!$G$14*8760)*Z$34)</f>
        <v>0</v>
      </c>
      <c r="AA38" s="41">
        <f>-IF(AA$2&gt;Inputs!$G$19,0,Inputs!$G$36/100*(Inputs!$G$9*Inputs!$G$14*8760)*AA$34)</f>
        <v>0</v>
      </c>
      <c r="AB38" s="41">
        <f>-IF(AB$2&gt;Inputs!$G$19,0,Inputs!$G$36/100*(Inputs!$G$9*Inputs!$G$14*8760)*AB$34)</f>
        <v>0</v>
      </c>
      <c r="AC38" s="41">
        <f>-IF(AC$2&gt;Inputs!$G$19,0,Inputs!$G$36/100*(Inputs!$G$9*Inputs!$G$14*8760)*AC$34)</f>
        <v>0</v>
      </c>
      <c r="AD38" s="41">
        <f>-IF(AD$2&gt;Inputs!$G$19,0,Inputs!$G$36/100*(Inputs!$G$9*Inputs!$G$14*8760)*AD$34)</f>
        <v>0</v>
      </c>
      <c r="AE38" s="41">
        <f>-IF(AE$2&gt;Inputs!$G$19,0,Inputs!$G$36/100*(Inputs!$G$9*Inputs!$G$14*8760)*AE$34)</f>
        <v>0</v>
      </c>
      <c r="AF38" s="41">
        <f>-IF(AF$2&gt;Inputs!$G$19,0,Inputs!$G$36/100*(Inputs!$G$9*Inputs!$G$14*8760)*AF$34)</f>
        <v>0</v>
      </c>
      <c r="AG38" s="41">
        <f>-IF(AG$2&gt;Inputs!$G$19,0,Inputs!$G$36/100*(Inputs!$G$9*Inputs!$G$14*8760)*AG$34)</f>
        <v>0</v>
      </c>
      <c r="AH38" s="41">
        <f>-IF(AH$2&gt;Inputs!$G$19,0,Inputs!$G$36/100*(Inputs!$G$9*Inputs!$G$14*8760)*AH$34)</f>
        <v>0</v>
      </c>
      <c r="AI38" s="41">
        <f>-IF(AI$2&gt;Inputs!$G$19,0,Inputs!$G$36/100*(Inputs!$G$9*Inputs!$G$14*8760)*AI$34)</f>
        <v>0</v>
      </c>
      <c r="AJ38" s="41">
        <f>-IF(AJ$2&gt;Inputs!$G$19,0,Inputs!$G$36/100*(Inputs!$G$9*Inputs!$G$14*8760)*AJ$34)</f>
        <v>0</v>
      </c>
    </row>
    <row r="39" spans="2:36" s="31" customFormat="1" ht="16">
      <c r="B39" s="31" t="s">
        <v>67</v>
      </c>
      <c r="E39" s="76" t="s">
        <v>0</v>
      </c>
      <c r="G39" s="41">
        <f>-IF(Inputs!$G$34="simple",0,IF(G$2&gt;Inputs!$G$19,0,Inputs!$G$41*G$34))</f>
        <v>-52012.5</v>
      </c>
      <c r="H39" s="41">
        <f>-IF(Inputs!$G$34="simple",0,IF(H$2&gt;Inputs!$G$19,0,Inputs!$G$41*H$34))</f>
        <v>-53052.75</v>
      </c>
      <c r="I39" s="41">
        <f>-IF(Inputs!$G$34="simple",0,IF(I$2&gt;Inputs!$G$19,0,Inputs!$G$41*I$34))</f>
        <v>-54113.805</v>
      </c>
      <c r="J39" s="41">
        <f>-IF(Inputs!$G$34="simple",0,IF(J$2&gt;Inputs!$G$19,0,Inputs!$G$41*J$34))</f>
        <v>-55196.081099999996</v>
      </c>
      <c r="K39" s="41">
        <f>-IF(Inputs!$G$34="simple",0,IF(K$2&gt;Inputs!$G$19,0,Inputs!$G$41*K$34))</f>
        <v>-56300.002721999997</v>
      </c>
      <c r="L39" s="41">
        <f>-IF(Inputs!$G$34="simple",0,IF(L$2&gt;Inputs!$G$19,0,Inputs!$G$41*L$34))</f>
        <v>-57426.00277644</v>
      </c>
      <c r="M39" s="41">
        <f>-IF(Inputs!$G$34="simple",0,IF(M$2&gt;Inputs!$G$19,0,Inputs!$G$41*M$34))</f>
        <v>-58574.522831968803</v>
      </c>
      <c r="N39" s="41">
        <f>-IF(Inputs!$G$34="simple",0,IF(N$2&gt;Inputs!$G$19,0,Inputs!$G$41*N$34))</f>
        <v>-59746.013288608177</v>
      </c>
      <c r="O39" s="41">
        <f>-IF(Inputs!$G$34="simple",0,IF(O$2&gt;Inputs!$G$19,0,Inputs!$G$41*O$34))</f>
        <v>-60940.933554380346</v>
      </c>
      <c r="P39" s="41">
        <f>-IF(Inputs!$G$34="simple",0,IF(P$2&gt;Inputs!$G$19,0,Inputs!$G$41*P$34))</f>
        <v>-62159.752225467957</v>
      </c>
      <c r="Q39" s="41">
        <f>-IF(Inputs!$G$34="simple",0,IF(Q$2&gt;Inputs!$G$19,0,Inputs!$G$41*Q$34))</f>
        <v>-63402.947269977318</v>
      </c>
      <c r="R39" s="41">
        <f>-IF(Inputs!$G$34="simple",0,IF(R$2&gt;Inputs!$G$19,0,Inputs!$G$41*R$34))</f>
        <v>-64671.006215376859</v>
      </c>
      <c r="S39" s="41">
        <f>-IF(Inputs!$G$34="simple",0,IF(S$2&gt;Inputs!$G$19,0,Inputs!$G$41*S$34))</f>
        <v>-65964.426339684404</v>
      </c>
      <c r="T39" s="41">
        <f>-IF(Inputs!$G$34="simple",0,IF(T$2&gt;Inputs!$G$19,0,Inputs!$G$41*T$34))</f>
        <v>-67283.714866478083</v>
      </c>
      <c r="U39" s="41">
        <f>-IF(Inputs!$G$34="simple",0,IF(U$2&gt;Inputs!$G$19,0,Inputs!$G$41*U$34))</f>
        <v>-68629.389163807646</v>
      </c>
      <c r="V39" s="41">
        <f>-IF(Inputs!$G$34="simple",0,IF(V$2&gt;Inputs!$G$19,0,Inputs!$G$41*V$34))</f>
        <v>-70001.976947083807</v>
      </c>
      <c r="W39" s="41">
        <f>-IF(Inputs!$G$34="simple",0,IF(W$2&gt;Inputs!$G$19,0,Inputs!$G$41*W$34))</f>
        <v>-71402.016486025488</v>
      </c>
      <c r="X39" s="41">
        <f>-IF(Inputs!$G$34="simple",0,IF(X$2&gt;Inputs!$G$19,0,Inputs!$G$41*X$34))</f>
        <v>-72830.056815745993</v>
      </c>
      <c r="Y39" s="41">
        <f>-IF(Inputs!$G$34="simple",0,IF(Y$2&gt;Inputs!$G$19,0,Inputs!$G$41*Y$34))</f>
        <v>-74286.657952060923</v>
      </c>
      <c r="Z39" s="41">
        <f>-IF(Inputs!$G$34="simple",0,IF(Z$2&gt;Inputs!$G$19,0,Inputs!$G$41*Z$34))</f>
        <v>-75772.39111110213</v>
      </c>
      <c r="AA39" s="41">
        <f>-IF(Inputs!$G$34="simple",0,IF(AA$2&gt;Inputs!$G$19,0,Inputs!$G$41*AA$34))</f>
        <v>0</v>
      </c>
      <c r="AB39" s="41">
        <f>-IF(Inputs!$G$34="simple",0,IF(AB$2&gt;Inputs!$G$19,0,Inputs!$G$41*AB$34))</f>
        <v>0</v>
      </c>
      <c r="AC39" s="41">
        <f>-IF(Inputs!$G$34="simple",0,IF(AC$2&gt;Inputs!$G$19,0,Inputs!$G$41*AC$34))</f>
        <v>0</v>
      </c>
      <c r="AD39" s="41">
        <f>-IF(Inputs!$G$34="simple",0,IF(AD$2&gt;Inputs!$G$19,0,Inputs!$G$41*AD$34))</f>
        <v>0</v>
      </c>
      <c r="AE39" s="41">
        <f>-IF(Inputs!$G$34="simple",0,IF(AE$2&gt;Inputs!$G$19,0,Inputs!$G$41*AE$34))</f>
        <v>0</v>
      </c>
      <c r="AF39" s="41">
        <f>-IF(Inputs!$G$34="simple",0,IF(AF$2&gt;Inputs!$G$19,0,Inputs!$G$41*AF$34))</f>
        <v>0</v>
      </c>
      <c r="AG39" s="41">
        <f>-IF(Inputs!$G$34="simple",0,IF(AG$2&gt;Inputs!$G$19,0,Inputs!$G$41*AG$34))</f>
        <v>0</v>
      </c>
      <c r="AH39" s="41">
        <f>-IF(Inputs!$G$34="simple",0,IF(AH$2&gt;Inputs!$G$19,0,Inputs!$G$41*AH$34))</f>
        <v>0</v>
      </c>
      <c r="AI39" s="41">
        <f>-IF(Inputs!$G$34="simple",0,IF(AI$2&gt;Inputs!$G$19,0,Inputs!$G$41*AI$34))</f>
        <v>0</v>
      </c>
      <c r="AJ39" s="41">
        <f>-IF(Inputs!$G$34="simple",0,IF(AJ$2&gt;Inputs!$G$19,0,Inputs!$G$41*AJ$34))</f>
        <v>0</v>
      </c>
    </row>
    <row r="40" spans="2:36" s="31" customFormat="1" ht="16">
      <c r="B40" s="31" t="s">
        <v>66</v>
      </c>
      <c r="E40" s="76" t="s">
        <v>0</v>
      </c>
      <c r="G40" s="41">
        <f>-IF(Inputs!$G$34="simple",0,IF(G$2&gt;Inputs!$G$19,0,Inputs!$G$42*G$34))</f>
        <v>-30000</v>
      </c>
      <c r="H40" s="41">
        <f>-IF(Inputs!$G$34="simple",0,IF(H$2&gt;Inputs!$G$19,0,Inputs!$G$42*H$34))</f>
        <v>-30600</v>
      </c>
      <c r="I40" s="41">
        <f>-IF(Inputs!$G$34="simple",0,IF(I$2&gt;Inputs!$G$19,0,Inputs!$G$42*I$34))</f>
        <v>-31212</v>
      </c>
      <c r="J40" s="41">
        <f>-IF(Inputs!$G$34="simple",0,IF(J$2&gt;Inputs!$G$19,0,Inputs!$G$42*J$34))</f>
        <v>-31836.239999999998</v>
      </c>
      <c r="K40" s="41">
        <f>-IF(Inputs!$G$34="simple",0,IF(K$2&gt;Inputs!$G$19,0,Inputs!$G$42*K$34))</f>
        <v>-32472.964799999998</v>
      </c>
      <c r="L40" s="41">
        <f>-IF(Inputs!$G$34="simple",0,IF(L$2&gt;Inputs!$G$19,0,Inputs!$G$42*L$34))</f>
        <v>-33122.424096000002</v>
      </c>
      <c r="M40" s="41">
        <f>-IF(Inputs!$G$34="simple",0,IF(M$2&gt;Inputs!$G$19,0,Inputs!$G$42*M$34))</f>
        <v>-33784.872577920003</v>
      </c>
      <c r="N40" s="41">
        <f>-IF(Inputs!$G$34="simple",0,IF(N$2&gt;Inputs!$G$19,0,Inputs!$G$42*N$34))</f>
        <v>-34460.570029478404</v>
      </c>
      <c r="O40" s="41">
        <f>-IF(Inputs!$G$34="simple",0,IF(O$2&gt;Inputs!$G$19,0,Inputs!$G$42*O$34))</f>
        <v>-35149.781430067975</v>
      </c>
      <c r="P40" s="41">
        <f>-IF(Inputs!$G$34="simple",0,IF(P$2&gt;Inputs!$G$19,0,Inputs!$G$42*P$34))</f>
        <v>-35852.77705866933</v>
      </c>
      <c r="Q40" s="41">
        <f>-IF(Inputs!$G$34="simple",0,IF(Q$2&gt;Inputs!$G$19,0,Inputs!$G$42*Q$34))</f>
        <v>-36569.832599842717</v>
      </c>
      <c r="R40" s="41">
        <f>-IF(Inputs!$G$34="simple",0,IF(R$2&gt;Inputs!$G$19,0,Inputs!$G$42*R$34))</f>
        <v>-37301.229251839577</v>
      </c>
      <c r="S40" s="41">
        <f>-IF(Inputs!$G$34="simple",0,IF(S$2&gt;Inputs!$G$19,0,Inputs!$G$42*S$34))</f>
        <v>-38047.253836876363</v>
      </c>
      <c r="T40" s="41">
        <f>-IF(Inputs!$G$34="simple",0,IF(T$2&gt;Inputs!$G$19,0,Inputs!$G$42*T$34))</f>
        <v>-38808.198913613887</v>
      </c>
      <c r="U40" s="41">
        <f>-IF(Inputs!$G$34="simple",0,IF(U$2&gt;Inputs!$G$19,0,Inputs!$G$42*U$34))</f>
        <v>-39584.362891886172</v>
      </c>
      <c r="V40" s="41">
        <f>-IF(Inputs!$G$34="simple",0,IF(V$2&gt;Inputs!$G$19,0,Inputs!$G$42*V$34))</f>
        <v>-40376.050149723895</v>
      </c>
      <c r="W40" s="41">
        <f>-IF(Inputs!$G$34="simple",0,IF(W$2&gt;Inputs!$G$19,0,Inputs!$G$42*W$34))</f>
        <v>-41183.571152718374</v>
      </c>
      <c r="X40" s="41">
        <f>-IF(Inputs!$G$34="simple",0,IF(X$2&gt;Inputs!$G$19,0,Inputs!$G$42*X$34))</f>
        <v>-42007.242575772747</v>
      </c>
      <c r="Y40" s="41">
        <f>-IF(Inputs!$G$34="simple",0,IF(Y$2&gt;Inputs!$G$19,0,Inputs!$G$42*Y$34))</f>
        <v>-42847.387427288202</v>
      </c>
      <c r="Z40" s="41">
        <f>-IF(Inputs!$G$34="simple",0,IF(Z$2&gt;Inputs!$G$19,0,Inputs!$G$42*Z$34))</f>
        <v>-43704.335175833963</v>
      </c>
      <c r="AA40" s="41">
        <f>-IF(Inputs!$G$34="simple",0,IF(AA$2&gt;Inputs!$G$19,0,Inputs!$G$42*AA$34))</f>
        <v>0</v>
      </c>
      <c r="AB40" s="41">
        <f>-IF(Inputs!$G$34="simple",0,IF(AB$2&gt;Inputs!$G$19,0,Inputs!$G$42*AB$34))</f>
        <v>0</v>
      </c>
      <c r="AC40" s="41">
        <f>-IF(Inputs!$G$34="simple",0,IF(AC$2&gt;Inputs!$G$19,0,Inputs!$G$42*AC$34))</f>
        <v>0</v>
      </c>
      <c r="AD40" s="41">
        <f>-IF(Inputs!$G$34="simple",0,IF(AD$2&gt;Inputs!$G$19,0,Inputs!$G$42*AD$34))</f>
        <v>0</v>
      </c>
      <c r="AE40" s="41">
        <f>-IF(Inputs!$G$34="simple",0,IF(AE$2&gt;Inputs!$G$19,0,Inputs!$G$42*AE$34))</f>
        <v>0</v>
      </c>
      <c r="AF40" s="41">
        <f>-IF(Inputs!$G$34="simple",0,IF(AF$2&gt;Inputs!$G$19,0,Inputs!$G$42*AF$34))</f>
        <v>0</v>
      </c>
      <c r="AG40" s="41">
        <f>-IF(Inputs!$G$34="simple",0,IF(AG$2&gt;Inputs!$G$19,0,Inputs!$G$42*AG$34))</f>
        <v>0</v>
      </c>
      <c r="AH40" s="41">
        <f>-IF(Inputs!$G$34="simple",0,IF(AH$2&gt;Inputs!$G$19,0,Inputs!$G$42*AH$34))</f>
        <v>0</v>
      </c>
      <c r="AI40" s="41">
        <f>-IF(Inputs!$G$34="simple",0,IF(AI$2&gt;Inputs!$G$19,0,Inputs!$G$42*AI$34))</f>
        <v>0</v>
      </c>
      <c r="AJ40" s="41">
        <f>-IF(Inputs!$G$34="simple",0,IF(AJ$2&gt;Inputs!$G$19,0,Inputs!$G$42*AJ$34))</f>
        <v>0</v>
      </c>
    </row>
    <row r="41" spans="2:36" s="31" customFormat="1" ht="16">
      <c r="B41" s="31" t="s">
        <v>467</v>
      </c>
      <c r="E41" s="76" t="s">
        <v>0</v>
      </c>
      <c r="G41" s="41">
        <f>-IF(Inputs!$G$34="simple",0,IF(G$2&gt;Inputs!$G$19,0,(Inputs!$G$43*G$35)*(G7/1000000)*G10))</f>
        <v>-736393.19400000002</v>
      </c>
      <c r="H41" s="41">
        <f>-IF(Inputs!$G$34="simple",0,IF(H$2&gt;Inputs!$G$19,0,(Inputs!$G$43*H$35)*(H7/1000000)*H10))</f>
        <v>-766450.05906122457</v>
      </c>
      <c r="I41" s="41">
        <f>-IF(Inputs!$G$34="simple",0,IF(I$2&gt;Inputs!$G$19,0,(Inputs!$G$43*I$35)*(I7/1000000)*I10))</f>
        <v>-797733.73494127463</v>
      </c>
      <c r="J41" s="41">
        <f>-IF(Inputs!$G$34="simple",0,IF(J$2&gt;Inputs!$G$19,0,(Inputs!$G$43*J$35)*(J7/1000000)*J10))</f>
        <v>-830294.29555112228</v>
      </c>
      <c r="K41" s="41">
        <f>-IF(Inputs!$G$34="simple",0,IF(K$2&gt;Inputs!$G$19,0,(Inputs!$G$43*K$35)*(K7/1000000)*K10))</f>
        <v>-769909.25587467733</v>
      </c>
      <c r="L41" s="41">
        <f>-IF(Inputs!$G$34="simple",0,IF(L$2&gt;Inputs!$G$19,0,(Inputs!$G$43*L$35)*(L7/1000000)*L10))</f>
        <v>-801334.12346139876</v>
      </c>
      <c r="M41" s="41">
        <f>-IF(Inputs!$G$34="simple",0,IF(M$2&gt;Inputs!$G$19,0,(Inputs!$G$43*M$35)*(M7/1000000)*M10))</f>
        <v>-834041.63870472135</v>
      </c>
      <c r="N41" s="41">
        <f>-IF(Inputs!$G$34="simple",0,IF(N$2&gt;Inputs!$G$19,0,(Inputs!$G$43*N$35)*(N7/1000000)*N10))</f>
        <v>-868084.15457022015</v>
      </c>
      <c r="O41" s="41">
        <f>-IF(Inputs!$G$34="simple",0,IF(O$2&gt;Inputs!$G$19,0,(Inputs!$G$43*O$35)*(O7/1000000)*O10))</f>
        <v>-903516.16087920871</v>
      </c>
      <c r="P41" s="41">
        <f>-IF(Inputs!$G$34="simple",0,IF(P$2&gt;Inputs!$G$19,0,(Inputs!$G$43*P$35)*(P7/1000000)*P10))</f>
        <v>-837805.89463344798</v>
      </c>
      <c r="Q41" s="41">
        <f>-IF(Inputs!$G$34="simple",0,IF(Q$2&gt;Inputs!$G$19,0,(Inputs!$G$43*Q$35)*(Q7/1000000)*Q10))</f>
        <v>-872002.05359807855</v>
      </c>
      <c r="R41" s="41">
        <f>-IF(Inputs!$G$34="simple",0,IF(R$2&gt;Inputs!$G$19,0,(Inputs!$G$43*R$35)*(R7/1000000)*R10))</f>
        <v>-907593.97415310226</v>
      </c>
      <c r="S41" s="41">
        <f>-IF(Inputs!$G$34="simple",0,IF(S$2&gt;Inputs!$G$19,0,(Inputs!$G$43*S$35)*(S7/1000000)*S10))</f>
        <v>-944638.6261593512</v>
      </c>
      <c r="T41" s="41">
        <f>-IF(Inputs!$G$34="simple",0,IF(T$2&gt;Inputs!$G$19,0,(Inputs!$G$43*T$35)*(T7/1000000)*T10))</f>
        <v>-983195.30477810022</v>
      </c>
      <c r="U41" s="41">
        <f>-IF(Inputs!$G$34="simple",0,IF(U$2&gt;Inputs!$G$19,0,(Inputs!$G$43*U$35)*(U7/1000000)*U10))</f>
        <v>-911690.19170332933</v>
      </c>
      <c r="V41" s="41">
        <f>-IF(Inputs!$G$34="simple",0,IF(V$2&gt;Inputs!$G$19,0,(Inputs!$G$43*V$35)*(V7/1000000)*V10))</f>
        <v>-948902.036262649</v>
      </c>
      <c r="W41" s="41">
        <f>-IF(Inputs!$G$34="simple",0,IF(W$2&gt;Inputs!$G$19,0,(Inputs!$G$43*W$35)*(W7/1000000)*W10))</f>
        <v>-987632.7316203079</v>
      </c>
      <c r="X41" s="41">
        <f>-IF(Inputs!$G$34="simple",0,IF(X$2&gt;Inputs!$G$19,0,(Inputs!$G$43*X$35)*(X7/1000000)*X10))</f>
        <v>-1027944.2716864434</v>
      </c>
      <c r="Y41" s="41">
        <f>-IF(Inputs!$G$34="simple",0,IF(Y$2&gt;Inputs!$G$19,0,(Inputs!$G$43*Y$35)*(Y7/1000000)*Y10))</f>
        <v>-1069901.1807348696</v>
      </c>
      <c r="Z41" s="41">
        <f>-IF(Inputs!$G$34="simple",0,IF(Z$2&gt;Inputs!$G$19,0,(Inputs!$G$43*Z$35)*(Z7/1000000)*Z10))</f>
        <v>-992090.18577233353</v>
      </c>
      <c r="AA41" s="41">
        <f>-IF(Inputs!$G$34="simple",0,IF(AA$2&gt;Inputs!$G$19,0,(Inputs!$G$43*AA$35)*(AA7/1000000)*AA10))</f>
        <v>0</v>
      </c>
      <c r="AB41" s="41">
        <f>-IF(Inputs!$G$34="simple",0,IF(AB$2&gt;Inputs!$G$19,0,(Inputs!$G$43*AB$35)*(AB7/1000000)*AB10))</f>
        <v>0</v>
      </c>
      <c r="AC41" s="41">
        <f>-IF(Inputs!$G$34="simple",0,IF(AC$2&gt;Inputs!$G$19,0,(Inputs!$G$43*AC$35)*(AC7/1000000)*AC10))</f>
        <v>0</v>
      </c>
      <c r="AD41" s="41">
        <f>-IF(Inputs!$G$34="simple",0,IF(AD$2&gt;Inputs!$G$19,0,(Inputs!$G$43*AD$35)*(AD7/1000000)*AD10))</f>
        <v>0</v>
      </c>
      <c r="AE41" s="41">
        <f>-IF(Inputs!$G$34="simple",0,IF(AE$2&gt;Inputs!$G$19,0,(Inputs!$G$43*AE$35)*(AE7/1000000)*AE10))</f>
        <v>0</v>
      </c>
      <c r="AF41" s="41">
        <f>-IF(Inputs!$G$34="simple",0,IF(AF$2&gt;Inputs!$G$19,0,(Inputs!$G$43*AF$35)*(AF7/1000000)*AF10))</f>
        <v>0</v>
      </c>
      <c r="AG41" s="41">
        <f>-IF(Inputs!$G$34="simple",0,IF(AG$2&gt;Inputs!$G$19,0,(Inputs!$G$43*AG$35)*(AG7/1000000)*AG10))</f>
        <v>0</v>
      </c>
      <c r="AH41" s="41">
        <f>-IF(Inputs!$G$34="simple",0,IF(AH$2&gt;Inputs!$G$19,0,(Inputs!$G$43*AH$35)*(AH7/1000000)*AH10))</f>
        <v>0</v>
      </c>
      <c r="AI41" s="41">
        <f>-IF(Inputs!$G$34="simple",0,IF(AI$2&gt;Inputs!$G$19,0,(Inputs!$G$43*AI$35)*(AI7/1000000)*AI10))</f>
        <v>0</v>
      </c>
      <c r="AJ41" s="41">
        <f>-IF(Inputs!$G$34="simple",0,IF(AJ$2&gt;Inputs!$G$19,0,(Inputs!$G$43*AJ$35)*(AJ7/1000000)*AJ10))</f>
        <v>0</v>
      </c>
    </row>
    <row r="42" spans="2:36" s="29" customFormat="1" ht="16">
      <c r="B42" s="29" t="s">
        <v>110</v>
      </c>
      <c r="E42" s="76" t="s">
        <v>0</v>
      </c>
      <c r="G42" s="84">
        <f>IF(Inputs!$G$34="simple",0,IF(G$2&gt;Inputs!$G$19,0,-Inputs!$G$45))</f>
        <v>0</v>
      </c>
      <c r="H42" s="84">
        <f>IF(Inputs!$G$34="simple",0,IF(H$2&gt;Inputs!$G$19,0,G42*(1+Inputs!$G$46)))</f>
        <v>0</v>
      </c>
      <c r="I42" s="84">
        <f>IF(Inputs!$G$34="simple",0,IF(I$2&gt;Inputs!$G$19,0,H42*(1+Inputs!$G$46)))</f>
        <v>0</v>
      </c>
      <c r="J42" s="84">
        <f>IF(Inputs!$G$34="simple",0,IF(J$2&gt;Inputs!$G$19,0,I42*(1+Inputs!$G$46)))</f>
        <v>0</v>
      </c>
      <c r="K42" s="84">
        <f>IF(Inputs!$G$34="simple",0,IF(K$2&gt;Inputs!$G$19,0,J42*(1+Inputs!$G$46)))</f>
        <v>0</v>
      </c>
      <c r="L42" s="84">
        <f>IF(Inputs!$G$34="simple",0,IF(L$2&gt;Inputs!$G$19,0,K42*(1+Inputs!$G$46)))</f>
        <v>0</v>
      </c>
      <c r="M42" s="84">
        <f>IF(Inputs!$G$34="simple",0,IF(M$2&gt;Inputs!$G$19,0,L42*(1+Inputs!$G$46)))</f>
        <v>0</v>
      </c>
      <c r="N42" s="84">
        <f>IF(Inputs!$G$34="simple",0,IF(N$2&gt;Inputs!$G$19,0,M42*(1+Inputs!$G$46)))</f>
        <v>0</v>
      </c>
      <c r="O42" s="84">
        <f>IF(Inputs!$G$34="simple",0,IF(O$2&gt;Inputs!$G$19,0,N42*(1+Inputs!$G$46)))</f>
        <v>0</v>
      </c>
      <c r="P42" s="84">
        <f>IF(Inputs!$G$34="simple",0,IF(P$2&gt;Inputs!$G$19,0,O42*(1+Inputs!$G$46)))</f>
        <v>0</v>
      </c>
      <c r="Q42" s="84">
        <f>IF(Inputs!$G$34="simple",0,IF(Q$2&gt;Inputs!$G$19,0,P42*(1+Inputs!$G$46)))</f>
        <v>0</v>
      </c>
      <c r="R42" s="84">
        <f>IF(Inputs!$G$34="simple",0,IF(R$2&gt;Inputs!$G$19,0,Q42*(1+Inputs!$G$46)))</f>
        <v>0</v>
      </c>
      <c r="S42" s="84">
        <f>IF(Inputs!$G$34="simple",0,IF(S$2&gt;Inputs!$G$19,0,R42*(1+Inputs!$G$46)))</f>
        <v>0</v>
      </c>
      <c r="T42" s="84">
        <f>IF(Inputs!$G$34="simple",0,IF(T$2&gt;Inputs!$G$19,0,S42*(1+Inputs!$G$46)))</f>
        <v>0</v>
      </c>
      <c r="U42" s="84">
        <f>IF(Inputs!$G$34="simple",0,IF(U$2&gt;Inputs!$G$19,0,T42*(1+Inputs!$G$46)))</f>
        <v>0</v>
      </c>
      <c r="V42" s="84">
        <f>IF(Inputs!$G$34="simple",0,IF(V$2&gt;Inputs!$G$19,0,U42*(1+Inputs!$G$46)))</f>
        <v>0</v>
      </c>
      <c r="W42" s="84">
        <f>IF(Inputs!$G$34="simple",0,IF(W$2&gt;Inputs!$G$19,0,V42*(1+Inputs!$G$46)))</f>
        <v>0</v>
      </c>
      <c r="X42" s="84">
        <f>IF(Inputs!$G$34="simple",0,IF(X$2&gt;Inputs!$G$19,0,W42*(1+Inputs!$G$46)))</f>
        <v>0</v>
      </c>
      <c r="Y42" s="84">
        <f>IF(Inputs!$G$34="simple",0,IF(Y$2&gt;Inputs!$G$19,0,X42*(1+Inputs!$G$46)))</f>
        <v>0</v>
      </c>
      <c r="Z42" s="84">
        <f>IF(Inputs!$G$34="simple",0,IF(Z$2&gt;Inputs!$G$19,0,Y42*(1+Inputs!$G$46)))</f>
        <v>0</v>
      </c>
      <c r="AA42" s="84">
        <f>IF(Inputs!$G$34="simple",0,IF(AA$2&gt;Inputs!$G$19,0,Z42*(1+Inputs!$G$46)))</f>
        <v>0</v>
      </c>
      <c r="AB42" s="84">
        <f>IF(Inputs!$G$34="simple",0,IF(AB$2&gt;Inputs!$G$19,0,AA42*(1+Inputs!$G$46)))</f>
        <v>0</v>
      </c>
      <c r="AC42" s="84">
        <f>IF(Inputs!$G$34="simple",0,IF(AC$2&gt;Inputs!$G$19,0,AB42*(1+Inputs!$G$46)))</f>
        <v>0</v>
      </c>
      <c r="AD42" s="84">
        <f>IF(Inputs!$G$34="simple",0,IF(AD$2&gt;Inputs!$G$19,0,AC42*(1+Inputs!$G$46)))</f>
        <v>0</v>
      </c>
      <c r="AE42" s="84">
        <f>IF(Inputs!$G$34="simple",0,IF(AE$2&gt;Inputs!$G$19,0,AD42*(1+Inputs!$G$46)))</f>
        <v>0</v>
      </c>
      <c r="AF42" s="84">
        <f>IF(Inputs!$G$34="simple",0,IF(AF$2&gt;Inputs!$G$19,0,AE42*(1+Inputs!$G$46)))</f>
        <v>0</v>
      </c>
      <c r="AG42" s="84">
        <f>IF(Inputs!$G$34="simple",0,IF(AG$2&gt;Inputs!$G$19,0,AF42*(1+Inputs!$G$46)))</f>
        <v>0</v>
      </c>
      <c r="AH42" s="84">
        <f>IF(Inputs!$G$34="simple",0,IF(AH$2&gt;Inputs!$G$19,0,AG42*(1+Inputs!$G$46)))</f>
        <v>0</v>
      </c>
      <c r="AI42" s="84">
        <f>IF(Inputs!$G$34="simple",0,IF(AI$2&gt;Inputs!$G$19,0,AH42*(1+Inputs!$G$46)))</f>
        <v>0</v>
      </c>
      <c r="AJ42" s="84">
        <f>IF(Inputs!$G$34="simple",0,IF(AJ$2&gt;Inputs!$G$19,0,AI42*(1+Inputs!$G$46)))</f>
        <v>0</v>
      </c>
    </row>
    <row r="43" spans="2:36" s="29" customFormat="1" ht="16">
      <c r="B43" s="29" t="s">
        <v>325</v>
      </c>
      <c r="E43" s="76" t="s">
        <v>0</v>
      </c>
      <c r="G43" s="84">
        <f>IF(Inputs!$G$34="simple",0,IF(G$2&gt;Inputs!$G$19,0,-Inputs!$G$47*G$34))</f>
        <v>-25000</v>
      </c>
      <c r="H43" s="84">
        <f>IF(Inputs!$G$34="simple",0,IF(H$2&gt;Inputs!$G$19,0,-Inputs!$G$47*H$34))</f>
        <v>-25500</v>
      </c>
      <c r="I43" s="84">
        <f>IF(Inputs!$G$34="simple",0,IF(I$2&gt;Inputs!$G$19,0,-Inputs!$G$47*I$34))</f>
        <v>-26010</v>
      </c>
      <c r="J43" s="84">
        <f>IF(Inputs!$G$34="simple",0,IF(J$2&gt;Inputs!$G$19,0,-Inputs!$G$47*J$34))</f>
        <v>-26530.199999999997</v>
      </c>
      <c r="K43" s="84">
        <f>IF(Inputs!$G$34="simple",0,IF(K$2&gt;Inputs!$G$19,0,-Inputs!$G$47*K$34))</f>
        <v>-27060.804</v>
      </c>
      <c r="L43" s="84">
        <f>IF(Inputs!$G$34="simple",0,IF(L$2&gt;Inputs!$G$19,0,-Inputs!$G$47*L$34))</f>
        <v>-27602.020080000002</v>
      </c>
      <c r="M43" s="84">
        <f>IF(Inputs!$G$34="simple",0,IF(M$2&gt;Inputs!$G$19,0,-Inputs!$G$47*M$34))</f>
        <v>-28154.060481600001</v>
      </c>
      <c r="N43" s="84">
        <f>IF(Inputs!$G$34="simple",0,IF(N$2&gt;Inputs!$G$19,0,-Inputs!$G$47*N$34))</f>
        <v>-28717.141691232002</v>
      </c>
      <c r="O43" s="84">
        <f>IF(Inputs!$G$34="simple",0,IF(O$2&gt;Inputs!$G$19,0,-Inputs!$G$47*O$34))</f>
        <v>-29291.484525056643</v>
      </c>
      <c r="P43" s="84">
        <f>IF(Inputs!$G$34="simple",0,IF(P$2&gt;Inputs!$G$19,0,-Inputs!$G$47*P$34))</f>
        <v>-29877.314215557777</v>
      </c>
      <c r="Q43" s="84">
        <f>IF(Inputs!$G$34="simple",0,IF(Q$2&gt;Inputs!$G$19,0,-Inputs!$G$47*Q$34))</f>
        <v>-30474.860499868933</v>
      </c>
      <c r="R43" s="84">
        <f>IF(Inputs!$G$34="simple",0,IF(R$2&gt;Inputs!$G$19,0,-Inputs!$G$47*R$34))</f>
        <v>-31084.357709866312</v>
      </c>
      <c r="S43" s="84">
        <f>IF(Inputs!$G$34="simple",0,IF(S$2&gt;Inputs!$G$19,0,-Inputs!$G$47*S$34))</f>
        <v>-31706.044864063639</v>
      </c>
      <c r="T43" s="84">
        <f>IF(Inputs!$G$34="simple",0,IF(T$2&gt;Inputs!$G$19,0,-Inputs!$G$47*T$34))</f>
        <v>-32340.165761344906</v>
      </c>
      <c r="U43" s="84">
        <f>IF(Inputs!$G$34="simple",0,IF(U$2&gt;Inputs!$G$19,0,-Inputs!$G$47*U$34))</f>
        <v>-32986.969076571811</v>
      </c>
      <c r="V43" s="84">
        <f>IF(Inputs!$G$34="simple",0,IF(V$2&gt;Inputs!$G$19,0,-Inputs!$G$47*V$34))</f>
        <v>-33646.708458103247</v>
      </c>
      <c r="W43" s="84">
        <f>IF(Inputs!$G$34="simple",0,IF(W$2&gt;Inputs!$G$19,0,-Inputs!$G$47*W$34))</f>
        <v>-34319.642627265312</v>
      </c>
      <c r="X43" s="84">
        <f>IF(Inputs!$G$34="simple",0,IF(X$2&gt;Inputs!$G$19,0,-Inputs!$G$47*X$34))</f>
        <v>-35006.03547981062</v>
      </c>
      <c r="Y43" s="84">
        <f>IF(Inputs!$G$34="simple",0,IF(Y$2&gt;Inputs!$G$19,0,-Inputs!$G$47*Y$34))</f>
        <v>-35706.156189406836</v>
      </c>
      <c r="Z43" s="84">
        <f>IF(Inputs!$G$34="simple",0,IF(Z$2&gt;Inputs!$G$19,0,-Inputs!$G$47*Z$34))</f>
        <v>-36420.279313194973</v>
      </c>
      <c r="AA43" s="84">
        <f>IF(Inputs!$G$34="simple",0,IF(AA$2&gt;Inputs!$G$19,0,-Inputs!$G$47*AA$34))</f>
        <v>0</v>
      </c>
      <c r="AB43" s="84">
        <f>IF(Inputs!$G$34="simple",0,IF(AB$2&gt;Inputs!$G$19,0,-Inputs!$G$47*AB$34))</f>
        <v>0</v>
      </c>
      <c r="AC43" s="84">
        <f>IF(Inputs!$G$34="simple",0,IF(AC$2&gt;Inputs!$G$19,0,-Inputs!$G$47*AC$34))</f>
        <v>0</v>
      </c>
      <c r="AD43" s="84">
        <f>IF(Inputs!$G$34="simple",0,IF(AD$2&gt;Inputs!$G$19,0,-Inputs!$G$47*AD$34))</f>
        <v>0</v>
      </c>
      <c r="AE43" s="84">
        <f>IF(Inputs!$G$34="simple",0,IF(AE$2&gt;Inputs!$G$19,0,-Inputs!$G$47*AE$34))</f>
        <v>0</v>
      </c>
      <c r="AF43" s="84">
        <f>IF(Inputs!$G$34="simple",0,IF(AF$2&gt;Inputs!$G$19,0,-Inputs!$G$47*AF$34))</f>
        <v>0</v>
      </c>
      <c r="AG43" s="84">
        <f>IF(Inputs!$G$34="simple",0,IF(AG$2&gt;Inputs!$G$19,0,-Inputs!$G$47*AG$34))</f>
        <v>0</v>
      </c>
      <c r="AH43" s="84">
        <f>IF(Inputs!$G$34="simple",0,IF(AH$2&gt;Inputs!$G$19,0,-Inputs!$G$47*AH$34))</f>
        <v>0</v>
      </c>
      <c r="AI43" s="84">
        <f>IF(Inputs!$G$34="simple",0,IF(AI$2&gt;Inputs!$G$19,0,-Inputs!$G$47*AI$34))</f>
        <v>0</v>
      </c>
      <c r="AJ43" s="84">
        <f>IF(Inputs!$G$34="simple",0,IF(AJ$2&gt;Inputs!$G$19,0,-Inputs!$G$47*AJ$34))</f>
        <v>0</v>
      </c>
    </row>
    <row r="44" spans="2:36" s="29" customFormat="1" ht="16">
      <c r="B44" s="40" t="s">
        <v>111</v>
      </c>
      <c r="C44" s="40"/>
      <c r="D44" s="40"/>
      <c r="E44" s="80" t="s">
        <v>0</v>
      </c>
      <c r="F44" s="40"/>
      <c r="G44" s="53">
        <f>-IF(Inputs!$G$34="simple",0,IF(G$2&gt;Inputs!$G$19,0,Inputs!$G$48*(G$22+G$24+G$26+G$28)))</f>
        <v>0</v>
      </c>
      <c r="H44" s="53">
        <f>-IF(Inputs!$G$34="simple",0,IF(H$2&gt;Inputs!$G$19,0,Inputs!$G$48*(H$22+H$24+H$26+H$28)))</f>
        <v>0</v>
      </c>
      <c r="I44" s="53">
        <f>-IF(Inputs!$G$34="simple",0,IF(I$2&gt;Inputs!$G$19,0,Inputs!$G$48*(I$22+I$24+I$26+I$28)))</f>
        <v>0</v>
      </c>
      <c r="J44" s="53">
        <f>-IF(Inputs!$G$34="simple",0,IF(J$2&gt;Inputs!$G$19,0,Inputs!$G$48*(J$22+J$24+J$26+J$28)))</f>
        <v>0</v>
      </c>
      <c r="K44" s="53">
        <f>-IF(Inputs!$G$34="simple",0,IF(K$2&gt;Inputs!$G$19,0,Inputs!$G$48*(K$22+K$24+K$26+K$28)))</f>
        <v>0</v>
      </c>
      <c r="L44" s="53">
        <f>-IF(Inputs!$G$34="simple",0,IF(L$2&gt;Inputs!$G$19,0,Inputs!$G$48*(L$22+L$24+L$26+L$28)))</f>
        <v>0</v>
      </c>
      <c r="M44" s="53">
        <f>-IF(Inputs!$G$34="simple",0,IF(M$2&gt;Inputs!$G$19,0,Inputs!$G$48*(M$22+M$24+M$26+M$28)))</f>
        <v>0</v>
      </c>
      <c r="N44" s="53">
        <f>-IF(Inputs!$G$34="simple",0,IF(N$2&gt;Inputs!$G$19,0,Inputs!$G$48*(N$22+N$24+N$26+N$28)))</f>
        <v>0</v>
      </c>
      <c r="O44" s="53">
        <f>-IF(Inputs!$G$34="simple",0,IF(O$2&gt;Inputs!$G$19,0,Inputs!$G$48*(O$22+O$24+O$26+O$28)))</f>
        <v>0</v>
      </c>
      <c r="P44" s="53">
        <f>-IF(Inputs!$G$34="simple",0,IF(P$2&gt;Inputs!$G$19,0,Inputs!$G$48*(P$22+P$24+P$26+P$28)))</f>
        <v>0</v>
      </c>
      <c r="Q44" s="53">
        <f>-IF(Inputs!$G$34="simple",0,IF(Q$2&gt;Inputs!$G$19,0,Inputs!$G$48*(Q$22+Q$24+Q$26+Q$28)))</f>
        <v>0</v>
      </c>
      <c r="R44" s="53">
        <f>-IF(Inputs!$G$34="simple",0,IF(R$2&gt;Inputs!$G$19,0,Inputs!$G$48*(R$22+R$24+R$26+R$28)))</f>
        <v>0</v>
      </c>
      <c r="S44" s="53">
        <f>-IF(Inputs!$G$34="simple",0,IF(S$2&gt;Inputs!$G$19,0,Inputs!$G$48*(S$22+S$24+S$26+S$28)))</f>
        <v>0</v>
      </c>
      <c r="T44" s="53">
        <f>-IF(Inputs!$G$34="simple",0,IF(T$2&gt;Inputs!$G$19,0,Inputs!$G$48*(T$22+T$24+T$26+T$28)))</f>
        <v>0</v>
      </c>
      <c r="U44" s="53">
        <f>-IF(Inputs!$G$34="simple",0,IF(U$2&gt;Inputs!$G$19,0,Inputs!$G$48*(U$22+U$24+U$26+U$28)))</f>
        <v>0</v>
      </c>
      <c r="V44" s="53">
        <f>-IF(Inputs!$G$34="simple",0,IF(V$2&gt;Inputs!$G$19,0,Inputs!$G$48*(V$22+V$24+V$26+V$28)))</f>
        <v>0</v>
      </c>
      <c r="W44" s="53">
        <f>-IF(Inputs!$G$34="simple",0,IF(W$2&gt;Inputs!$G$19,0,Inputs!$G$48*(W$22+W$24+W$26+W$28)))</f>
        <v>0</v>
      </c>
      <c r="X44" s="53">
        <f>-IF(Inputs!$G$34="simple",0,IF(X$2&gt;Inputs!$G$19,0,Inputs!$G$48*(X$22+X$24+X$26+X$28)))</f>
        <v>0</v>
      </c>
      <c r="Y44" s="53">
        <f>-IF(Inputs!$G$34="simple",0,IF(Y$2&gt;Inputs!$G$19,0,Inputs!$G$48*(Y$22+Y$24+Y$26+Y$28)))</f>
        <v>0</v>
      </c>
      <c r="Z44" s="53">
        <f>-IF(Inputs!$G$34="simple",0,IF(Z$2&gt;Inputs!$G$19,0,Inputs!$G$48*(Z$22+Z$24+Z$26+Z$28)))</f>
        <v>0</v>
      </c>
      <c r="AA44" s="53">
        <f>-IF(Inputs!$G$34="simple",0,IF(AA$2&gt;Inputs!$G$19,0,Inputs!$G$48*(AA$22+AA$24+AA$26+AA$28)))</f>
        <v>0</v>
      </c>
      <c r="AB44" s="53">
        <f>-IF(Inputs!$G$34="simple",0,IF(AB$2&gt;Inputs!$G$19,0,Inputs!$G$48*(AB$22+AB$24+AB$26+AB$28)))</f>
        <v>0</v>
      </c>
      <c r="AC44" s="53">
        <f>-IF(Inputs!$G$34="simple",0,IF(AC$2&gt;Inputs!$G$19,0,Inputs!$G$48*(AC$22+AC$24+AC$26+AC$28)))</f>
        <v>0</v>
      </c>
      <c r="AD44" s="53">
        <f>-IF(Inputs!$G$34="simple",0,IF(AD$2&gt;Inputs!$G$19,0,Inputs!$G$48*(AD$22+AD$24+AD$26+AD$28)))</f>
        <v>0</v>
      </c>
      <c r="AE44" s="53">
        <f>-IF(Inputs!$G$34="simple",0,IF(AE$2&gt;Inputs!$G$19,0,Inputs!$G$48*(AE$22+AE$24+AE$26+AE$28)))</f>
        <v>0</v>
      </c>
      <c r="AF44" s="53">
        <f>-IF(Inputs!$G$34="simple",0,IF(AF$2&gt;Inputs!$G$19,0,Inputs!$G$48*(AF$22+AF$24+AF$26+AF$28)))</f>
        <v>0</v>
      </c>
      <c r="AG44" s="53">
        <f>-IF(Inputs!$G$34="simple",0,IF(AG$2&gt;Inputs!$G$19,0,Inputs!$G$48*(AG$22+AG$24+AG$26+AG$28)))</f>
        <v>0</v>
      </c>
      <c r="AH44" s="53">
        <f>-IF(Inputs!$G$34="simple",0,IF(AH$2&gt;Inputs!$G$19,0,Inputs!$G$48*(AH$22+AH$24+AH$26+AH$28)))</f>
        <v>0</v>
      </c>
      <c r="AI44" s="53">
        <f>-IF(Inputs!$G$34="simple",0,IF(AI$2&gt;Inputs!$G$19,0,Inputs!$G$48*(AI$22+AI$24+AI$26+AI$28)))</f>
        <v>0</v>
      </c>
      <c r="AJ44" s="53">
        <f>-IF(Inputs!$G$34="simple",0,IF(AJ$2&gt;Inputs!$G$19,0,Inputs!$G$48*(AJ$22+AJ$24+AJ$26+AJ$28)))</f>
        <v>0</v>
      </c>
    </row>
    <row r="45" spans="2:36" s="29" customFormat="1" ht="16">
      <c r="B45" s="43" t="s">
        <v>114</v>
      </c>
      <c r="C45" s="43"/>
      <c r="D45" s="43"/>
      <c r="E45" s="81" t="s">
        <v>0</v>
      </c>
      <c r="F45" s="34"/>
      <c r="G45" s="44">
        <f>SUM(G37:G44)</f>
        <v>-1755905.6940000001</v>
      </c>
      <c r="H45" s="44">
        <f t="shared" ref="H45:AJ45" si="7">SUM(H37:H44)</f>
        <v>-1806352.8090612246</v>
      </c>
      <c r="I45" s="44">
        <f t="shared" si="7"/>
        <v>-1858434.5399412746</v>
      </c>
      <c r="J45" s="44">
        <f t="shared" si="7"/>
        <v>-1912209.1166511222</v>
      </c>
      <c r="K45" s="44">
        <f t="shared" si="7"/>
        <v>-1873462.3733966774</v>
      </c>
      <c r="L45" s="44">
        <f t="shared" si="7"/>
        <v>-1926958.3033338387</v>
      </c>
      <c r="M45" s="44">
        <f t="shared" si="7"/>
        <v>-1982178.3021746103</v>
      </c>
      <c r="N45" s="44">
        <f t="shared" si="7"/>
        <v>-2039183.5513095069</v>
      </c>
      <c r="O45" s="44">
        <f t="shared" si="7"/>
        <v>-2098037.5455532814</v>
      </c>
      <c r="P45" s="44">
        <f t="shared" si="7"/>
        <v>-2056217.707001002</v>
      </c>
      <c r="Q45" s="44">
        <f t="shared" si="7"/>
        <v>-2114782.1022129836</v>
      </c>
      <c r="R45" s="44">
        <f t="shared" si="7"/>
        <v>-2175229.6237403057</v>
      </c>
      <c r="S45" s="44">
        <f t="shared" si="7"/>
        <v>-2237626.9887382984</v>
      </c>
      <c r="T45" s="44">
        <f t="shared" si="7"/>
        <v>-2302043.4346086262</v>
      </c>
      <c r="U45" s="44">
        <f t="shared" si="7"/>
        <v>-2256915.2841304662</v>
      </c>
      <c r="V45" s="44">
        <f t="shared" si="7"/>
        <v>-2321031.6305383286</v>
      </c>
      <c r="W45" s="44">
        <f t="shared" si="7"/>
        <v>-2387204.9177815006</v>
      </c>
      <c r="X45" s="44">
        <f t="shared" si="7"/>
        <v>-2455507.9015708603</v>
      </c>
      <c r="Y45" s="44">
        <f t="shared" si="7"/>
        <v>-2526016.083216975</v>
      </c>
      <c r="Z45" s="44">
        <f t="shared" si="7"/>
        <v>-2477327.386304081</v>
      </c>
      <c r="AA45" s="44">
        <f t="shared" si="7"/>
        <v>0</v>
      </c>
      <c r="AB45" s="44">
        <f t="shared" si="7"/>
        <v>0</v>
      </c>
      <c r="AC45" s="44">
        <f t="shared" si="7"/>
        <v>0</v>
      </c>
      <c r="AD45" s="44">
        <f t="shared" si="7"/>
        <v>0</v>
      </c>
      <c r="AE45" s="44">
        <f t="shared" si="7"/>
        <v>0</v>
      </c>
      <c r="AF45" s="44">
        <f t="shared" si="7"/>
        <v>0</v>
      </c>
      <c r="AG45" s="44">
        <f t="shared" si="7"/>
        <v>0</v>
      </c>
      <c r="AH45" s="44">
        <f t="shared" si="7"/>
        <v>0</v>
      </c>
      <c r="AI45" s="44">
        <f t="shared" si="7"/>
        <v>0</v>
      </c>
      <c r="AJ45" s="44">
        <f t="shared" si="7"/>
        <v>0</v>
      </c>
    </row>
    <row r="46" spans="2:36" s="29" customFormat="1" ht="16" hidden="1">
      <c r="B46" s="43"/>
      <c r="C46" s="43"/>
      <c r="D46" s="43"/>
      <c r="E46" s="81"/>
      <c r="F46" s="34"/>
      <c r="G46" s="44">
        <f>IF(G45=0,"",G45)</f>
        <v>-1755905.6940000001</v>
      </c>
      <c r="H46" s="44">
        <f t="shared" ref="H46:AJ46" si="8">IF(H45=0,"",H45)</f>
        <v>-1806352.8090612246</v>
      </c>
      <c r="I46" s="44">
        <f t="shared" si="8"/>
        <v>-1858434.5399412746</v>
      </c>
      <c r="J46" s="44">
        <f t="shared" si="8"/>
        <v>-1912209.1166511222</v>
      </c>
      <c r="K46" s="44">
        <f t="shared" si="8"/>
        <v>-1873462.3733966774</v>
      </c>
      <c r="L46" s="44">
        <f t="shared" si="8"/>
        <v>-1926958.3033338387</v>
      </c>
      <c r="M46" s="44">
        <f t="shared" si="8"/>
        <v>-1982178.3021746103</v>
      </c>
      <c r="N46" s="44">
        <f t="shared" si="8"/>
        <v>-2039183.5513095069</v>
      </c>
      <c r="O46" s="44">
        <f t="shared" si="8"/>
        <v>-2098037.5455532814</v>
      </c>
      <c r="P46" s="44">
        <f t="shared" si="8"/>
        <v>-2056217.707001002</v>
      </c>
      <c r="Q46" s="44">
        <f t="shared" si="8"/>
        <v>-2114782.1022129836</v>
      </c>
      <c r="R46" s="44">
        <f t="shared" si="8"/>
        <v>-2175229.6237403057</v>
      </c>
      <c r="S46" s="44">
        <f t="shared" si="8"/>
        <v>-2237626.9887382984</v>
      </c>
      <c r="T46" s="44">
        <f t="shared" si="8"/>
        <v>-2302043.4346086262</v>
      </c>
      <c r="U46" s="44">
        <f t="shared" si="8"/>
        <v>-2256915.2841304662</v>
      </c>
      <c r="V46" s="44">
        <f t="shared" si="8"/>
        <v>-2321031.6305383286</v>
      </c>
      <c r="W46" s="44">
        <f t="shared" si="8"/>
        <v>-2387204.9177815006</v>
      </c>
      <c r="X46" s="44">
        <f t="shared" si="8"/>
        <v>-2455507.9015708603</v>
      </c>
      <c r="Y46" s="44">
        <f t="shared" si="8"/>
        <v>-2526016.083216975</v>
      </c>
      <c r="Z46" s="44">
        <f t="shared" si="8"/>
        <v>-2477327.386304081</v>
      </c>
      <c r="AA46" s="44" t="str">
        <f t="shared" si="8"/>
        <v/>
      </c>
      <c r="AB46" s="44" t="str">
        <f t="shared" si="8"/>
        <v/>
      </c>
      <c r="AC46" s="44" t="str">
        <f t="shared" si="8"/>
        <v/>
      </c>
      <c r="AD46" s="44" t="str">
        <f t="shared" si="8"/>
        <v/>
      </c>
      <c r="AE46" s="44" t="str">
        <f t="shared" si="8"/>
        <v/>
      </c>
      <c r="AF46" s="44" t="str">
        <f t="shared" si="8"/>
        <v/>
      </c>
      <c r="AG46" s="44" t="str">
        <f t="shared" si="8"/>
        <v/>
      </c>
      <c r="AH46" s="44" t="str">
        <f t="shared" si="8"/>
        <v/>
      </c>
      <c r="AI46" s="44" t="str">
        <f t="shared" si="8"/>
        <v/>
      </c>
      <c r="AJ46" s="44" t="str">
        <f t="shared" si="8"/>
        <v/>
      </c>
    </row>
    <row r="47" spans="2:36" s="29" customFormat="1" ht="16">
      <c r="B47" s="45" t="s">
        <v>114</v>
      </c>
      <c r="C47" s="45"/>
      <c r="D47" s="45"/>
      <c r="E47" s="79" t="s">
        <v>52</v>
      </c>
      <c r="F47" s="46"/>
      <c r="G47" s="691">
        <f>IF(G$2&gt;Inputs!$G$19,0,G45*100/G10)</f>
        <v>-6.7798361400119083</v>
      </c>
      <c r="H47" s="691">
        <f>IF(H$2&gt;Inputs!$G$19,0,H45*100/H10)</f>
        <v>-6.9746206179141863</v>
      </c>
      <c r="I47" s="691">
        <f>IF(I$2&gt;Inputs!$G$19,0,I45*100/I10)</f>
        <v>-7.1757166121133693</v>
      </c>
      <c r="J47" s="691">
        <f>IF(J$2&gt;Inputs!$G$19,0,J45*100/J10)</f>
        <v>-7.3833489581084111</v>
      </c>
      <c r="K47" s="691">
        <f>IF(K$2&gt;Inputs!$G$19,0,K45*100/K10)</f>
        <v>-7.2337415098713578</v>
      </c>
      <c r="L47" s="691">
        <f>IF(L$2&gt;Inputs!$G$19,0,L45*100/L10)</f>
        <v>-7.4402979555682149</v>
      </c>
      <c r="M47" s="691">
        <f>IF(M$2&gt;Inputs!$G$19,0,M45*100/M10)</f>
        <v>-7.6535113104034753</v>
      </c>
      <c r="N47" s="691">
        <f>IF(N$2&gt;Inputs!$G$19,0,N45*100/N10)</f>
        <v>-7.8736178056302952</v>
      </c>
      <c r="O47" s="691">
        <f>IF(O$2&gt;Inputs!$G$19,0,O45*100/O10)</f>
        <v>-8.1008626050073147</v>
      </c>
      <c r="P47" s="691">
        <f>IF(P$2&gt;Inputs!$G$19,0,P45*100/P10)</f>
        <v>-7.939389438336093</v>
      </c>
      <c r="Q47" s="691">
        <f>IF(Q$2&gt;Inputs!$G$19,0,Q45*100/Q10)</f>
        <v>-8.1655160489695078</v>
      </c>
      <c r="R47" s="691">
        <f>IF(R$2&gt;Inputs!$G$19,0,R45*100/R10)</f>
        <v>-8.3989137151570894</v>
      </c>
      <c r="S47" s="691">
        <f>IF(S$2&gt;Inputs!$G$19,0,S45*100/S10)</f>
        <v>-8.6398400426361022</v>
      </c>
      <c r="T47" s="691">
        <f>IF(T$2&gt;Inputs!$G$19,0,T45*100/T10)</f>
        <v>-8.8885623682228925</v>
      </c>
      <c r="U47" s="691">
        <f>IF(U$2&gt;Inputs!$G$19,0,U45*100/U10)</f>
        <v>-8.7143152736384799</v>
      </c>
      <c r="V47" s="691">
        <f>IF(V$2&gt;Inputs!$G$19,0,V45*100/V10)</f>
        <v>-8.9618788666189744</v>
      </c>
      <c r="W47" s="691">
        <f>IF(W$2&gt;Inputs!$G$19,0,W45*100/W10)</f>
        <v>-9.2173846411532701</v>
      </c>
      <c r="X47" s="691">
        <f>IF(X$2&gt;Inputs!$G$19,0,X45*100/X10)</f>
        <v>-9.4811135188191482</v>
      </c>
      <c r="Y47" s="691">
        <f>IF(Y$2&gt;Inputs!$G$19,0,Y45*100/Y10)</f>
        <v>-9.7533570223992747</v>
      </c>
      <c r="Z47" s="691">
        <f>IF(Z$2&gt;Inputs!$G$19,0,Z45*100/Z10)</f>
        <v>-9.5653620816299068</v>
      </c>
      <c r="AA47" s="691">
        <f>IF(AA$2&gt;Inputs!$G$19,0,AA45*100/AA10)</f>
        <v>0</v>
      </c>
      <c r="AB47" s="691">
        <f>IF(AB$2&gt;Inputs!$G$19,0,AB45*100/AB10)</f>
        <v>0</v>
      </c>
      <c r="AC47" s="691">
        <f>IF(AC$2&gt;Inputs!$G$19,0,AC45*100/AC10)</f>
        <v>0</v>
      </c>
      <c r="AD47" s="691">
        <f>IF(AD$2&gt;Inputs!$G$19,0,AD45*100/AD10)</f>
        <v>0</v>
      </c>
      <c r="AE47" s="691">
        <f>IF(AE$2&gt;Inputs!$G$19,0,AE45*100/AE10)</f>
        <v>0</v>
      </c>
      <c r="AF47" s="691">
        <f>IF(AF$2&gt;Inputs!$G$19,0,AF45*100/AF10)</f>
        <v>0</v>
      </c>
      <c r="AG47" s="691">
        <f>IF(AG$2&gt;Inputs!$G$19,0,AG45*100/AG10)</f>
        <v>0</v>
      </c>
      <c r="AH47" s="691">
        <f>IF(AH$2&gt;Inputs!$G$19,0,AH45*100/AH10)</f>
        <v>0</v>
      </c>
      <c r="AI47" s="691">
        <f>IF(AI$2&gt;Inputs!$G$19,0,AI45*100/AI10)</f>
        <v>0</v>
      </c>
      <c r="AJ47" s="691">
        <f>IF(AJ$2&gt;Inputs!$G$19,0,AJ45*100/AJ10)</f>
        <v>0</v>
      </c>
    </row>
    <row r="48" spans="2:36" s="29" customFormat="1" ht="16">
      <c r="E48" s="79"/>
    </row>
    <row r="49" spans="1:36" s="29" customFormat="1" ht="16">
      <c r="B49" s="34" t="s">
        <v>115</v>
      </c>
      <c r="C49" s="34"/>
      <c r="D49" s="34"/>
      <c r="E49" s="76" t="s">
        <v>0</v>
      </c>
      <c r="F49" s="31"/>
      <c r="G49" s="44">
        <f t="shared" ref="G49:AJ49" si="9">G31+G45</f>
        <v>1594292.4202244109</v>
      </c>
      <c r="H49" s="44">
        <f t="shared" si="9"/>
        <v>1543845.3051631865</v>
      </c>
      <c r="I49" s="44">
        <f t="shared" si="9"/>
        <v>1491763.574283137</v>
      </c>
      <c r="J49" s="44">
        <f t="shared" si="9"/>
        <v>1437988.9975732879</v>
      </c>
      <c r="K49" s="44">
        <f t="shared" si="9"/>
        <v>1476735.7408277341</v>
      </c>
      <c r="L49" s="44">
        <f t="shared" si="9"/>
        <v>1423239.8108905724</v>
      </c>
      <c r="M49" s="44">
        <f t="shared" si="9"/>
        <v>1368019.8120498012</v>
      </c>
      <c r="N49" s="44">
        <f t="shared" si="9"/>
        <v>1311014.5629149042</v>
      </c>
      <c r="O49" s="44">
        <f t="shared" si="9"/>
        <v>1252160.5686711287</v>
      </c>
      <c r="P49" s="44">
        <f t="shared" si="9"/>
        <v>1293980.4072234095</v>
      </c>
      <c r="Q49" s="44">
        <f t="shared" si="9"/>
        <v>1235416.0120114279</v>
      </c>
      <c r="R49" s="44">
        <f t="shared" si="9"/>
        <v>1174968.4904841059</v>
      </c>
      <c r="S49" s="44">
        <f t="shared" si="9"/>
        <v>1112571.1254861127</v>
      </c>
      <c r="T49" s="44">
        <f t="shared" si="9"/>
        <v>1045043.0097464412</v>
      </c>
      <c r="U49" s="44">
        <f t="shared" si="9"/>
        <v>1087059.4903552583</v>
      </c>
      <c r="V49" s="44">
        <f t="shared" si="9"/>
        <v>1022943.143947396</v>
      </c>
      <c r="W49" s="44">
        <f t="shared" si="9"/>
        <v>956769.8567042225</v>
      </c>
      <c r="X49" s="44">
        <f t="shared" si="9"/>
        <v>888466.87291486422</v>
      </c>
      <c r="Y49" s="44">
        <f t="shared" si="9"/>
        <v>817958.69126874954</v>
      </c>
      <c r="Z49" s="44">
        <f t="shared" si="9"/>
        <v>858666.89593878109</v>
      </c>
      <c r="AA49" s="44">
        <f t="shared" si="9"/>
        <v>0</v>
      </c>
      <c r="AB49" s="44">
        <f t="shared" si="9"/>
        <v>0</v>
      </c>
      <c r="AC49" s="44">
        <f t="shared" si="9"/>
        <v>0</v>
      </c>
      <c r="AD49" s="44">
        <f t="shared" si="9"/>
        <v>0</v>
      </c>
      <c r="AE49" s="44">
        <f t="shared" si="9"/>
        <v>0</v>
      </c>
      <c r="AF49" s="44">
        <f t="shared" si="9"/>
        <v>0</v>
      </c>
      <c r="AG49" s="44">
        <f t="shared" si="9"/>
        <v>0</v>
      </c>
      <c r="AH49" s="44">
        <f t="shared" si="9"/>
        <v>0</v>
      </c>
      <c r="AI49" s="44">
        <f t="shared" si="9"/>
        <v>0</v>
      </c>
      <c r="AJ49" s="44">
        <f t="shared" si="9"/>
        <v>0</v>
      </c>
    </row>
    <row r="50" spans="1:36" s="29" customFormat="1" ht="16">
      <c r="B50" s="34"/>
      <c r="C50" s="34"/>
      <c r="D50" s="34"/>
      <c r="E50" s="76" t="s">
        <v>252</v>
      </c>
      <c r="F50" s="82" t="s">
        <v>188</v>
      </c>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row>
    <row r="51" spans="1:36" s="31" customFormat="1" ht="16">
      <c r="B51" s="47" t="s">
        <v>146</v>
      </c>
      <c r="C51" s="47"/>
      <c r="D51" s="47"/>
      <c r="E51" s="48">
        <f>IF(OR(Inputs!$G$57=0,Inputs!$G$57=""),"N/A",AVERAGE(G51:AJ51))</f>
        <v>1.6423283686601278</v>
      </c>
      <c r="F51" s="48">
        <f>IF(OR(Inputs!$G$57=0,Inputs!$G$57=""),"N/A",MIN(G51:AJ51))</f>
        <v>1.3408047433557295</v>
      </c>
      <c r="G51" s="48">
        <f>IF(OR(Inputs!$G$57=0,Inputs!$G$57=""),"N/A",IF(G$2&gt;Inputs!$G$58,"N/A",(G49+SUM(G57:G58))/-G95))</f>
        <v>1.9213466810034148</v>
      </c>
      <c r="H51" s="48">
        <f>IF(OR(Inputs!$G$57=0,Inputs!$G$57=""),"N/A",IF(H$2&gt;Inputs!$G$58,"N/A",(H49+SUM(H57:H58))/-H95))</f>
        <v>1.8605508095186603</v>
      </c>
      <c r="I51" s="48">
        <f>IF(OR(Inputs!$G$57=0,Inputs!$G$57=""),"N/A",IF(I$2&gt;Inputs!$G$58,"N/A",(I49+SUM(I57:I58))/-I95))</f>
        <v>1.7977849959841454</v>
      </c>
      <c r="J51" s="48">
        <f>IF(OR(Inputs!$G$57=0,Inputs!$G$57=""),"N/A",IF(J$2&gt;Inputs!$G$58,"N/A",(J49+SUM(J57:J58))/-J95))</f>
        <v>1.7329790650437671</v>
      </c>
      <c r="K51" s="48">
        <f>IF(OR(Inputs!$G$57=0,Inputs!$G$57=""),"N/A",IF(K$2&gt;Inputs!$G$58,"N/A",(K49+SUM(K57:K58))/-K95))</f>
        <v>1.7796743422759969</v>
      </c>
      <c r="L51" s="48">
        <f>IF(OR(Inputs!$G$57=0,Inputs!$G$57=""),"N/A",IF(L$2&gt;Inputs!$G$58,"N/A",(L49+SUM(L57:L58))/-L95))</f>
        <v>1.7152042199019033</v>
      </c>
      <c r="M51" s="48">
        <f>IF(OR(Inputs!$G$57=0,Inputs!$G$57=""),"N/A",IF(M$2&gt;Inputs!$G$58,"N/A",(M49+SUM(M57:M58))/-M95))</f>
        <v>1.6486563519249648</v>
      </c>
      <c r="N51" s="48">
        <f>IF(OR(Inputs!$G$57=0,Inputs!$G$57=""),"N/A",IF(N$2&gt;Inputs!$G$58,"N/A",(N49+SUM(N57:N58))/-N95))</f>
        <v>1.5799570061614754</v>
      </c>
      <c r="O51" s="48">
        <f>IF(OR(Inputs!$G$57=0,Inputs!$G$57=""),"N/A",IF(O$2&gt;Inputs!$G$58,"N/A",(O49+SUM(O57:O58))/-O95))</f>
        <v>1.5090296624260302</v>
      </c>
      <c r="P51" s="48">
        <f>IF(OR(Inputs!$G$57=0,Inputs!$G$57=""),"N/A",IF(P$2&gt;Inputs!$G$58,"N/A",(P49+SUM(P57:P58))/-P95))</f>
        <v>1.5594284518722052</v>
      </c>
      <c r="Q51" s="48">
        <f>IF(OR(Inputs!$G$57=0,Inputs!$G$57=""),"N/A",IF(Q$2&gt;Inputs!$G$58,"N/A",(Q49+SUM(Q57:Q58))/-Q95))</f>
        <v>1.4888501157162355</v>
      </c>
      <c r="R51" s="48">
        <f>IF(OR(Inputs!$G$57=0,Inputs!$G$57=""),"N/A",IF(R$2&gt;Inputs!$G$58,"N/A",(R49+SUM(R57:R58))/-R95))</f>
        <v>1.416002347397137</v>
      </c>
      <c r="S51" s="48">
        <f>IF(OR(Inputs!$G$57=0,Inputs!$G$57=""),"N/A",IF(S$2&gt;Inputs!$G$58,"N/A",(S49+SUM(S57:S58))/-S95))</f>
        <v>1.3408047433557295</v>
      </c>
      <c r="T51" s="48" t="str">
        <f>IF(OR(Inputs!$G$57=0,Inputs!$G$57=""),"N/A",IF(T$2&gt;Inputs!$G$58,"N/A",(T49+SUM(T57:T58))/-T95))</f>
        <v>N/A</v>
      </c>
      <c r="U51" s="48" t="str">
        <f>IF(OR(Inputs!$G$57=0,Inputs!$G$57=""),"N/A",IF(U$2&gt;Inputs!$G$58,"N/A",(U49+SUM(U57:U58))/-U95))</f>
        <v>N/A</v>
      </c>
      <c r="V51" s="48" t="str">
        <f>IF(OR(Inputs!$G$57=0,Inputs!$G$57=""),"N/A",IF(V$2&gt;Inputs!$G$58,"N/A",(V49+SUM(V57:V58))/-V95))</f>
        <v>N/A</v>
      </c>
      <c r="W51" s="48" t="str">
        <f>IF(OR(Inputs!$G$57=0,Inputs!$G$57=""),"N/A",IF(W$2&gt;Inputs!$G$58,"N/A",(W49+SUM(W57:W58))/-W95))</f>
        <v>N/A</v>
      </c>
      <c r="X51" s="48" t="str">
        <f>IF(OR(Inputs!$G$57=0,Inputs!$G$57=""),"N/A",IF(X$2&gt;Inputs!$G$58,"N/A",(X49+SUM(X57:X58))/-X95))</f>
        <v>N/A</v>
      </c>
      <c r="Y51" s="48" t="str">
        <f>IF(OR(Inputs!$G$57=0,Inputs!$G$57=""),"N/A",IF(Y$2&gt;Inputs!$G$58,"N/A",(Y49+SUM(Y57:Y58))/-Y95))</f>
        <v>N/A</v>
      </c>
      <c r="Z51" s="48" t="str">
        <f>IF(OR(Inputs!$G$57=0,Inputs!$G$57=""),"N/A",IF(Z$2&gt;Inputs!$G$58,"N/A",(Z49+SUM(Z57:Z58))/-Z95))</f>
        <v>N/A</v>
      </c>
      <c r="AA51" s="48" t="str">
        <f>IF(OR(Inputs!$G$57=0,Inputs!$G$57=""),"N/A",IF(AA$2&gt;Inputs!$G$58,"N/A",(AA49+SUM(AA57:AA58))/-AA95))</f>
        <v>N/A</v>
      </c>
      <c r="AB51" s="48" t="str">
        <f>IF(OR(Inputs!$G$57=0,Inputs!$G$57=""),"N/A",IF(AB$2&gt;Inputs!$G$58,"N/A",(AB49+SUM(AB57:AB58))/-AB95))</f>
        <v>N/A</v>
      </c>
      <c r="AC51" s="48" t="str">
        <f>IF(OR(Inputs!$G$57=0,Inputs!$G$57=""),"N/A",IF(AC$2&gt;Inputs!$G$58,"N/A",(AC49+SUM(AC57:AC58))/-AC95))</f>
        <v>N/A</v>
      </c>
      <c r="AD51" s="48" t="str">
        <f>IF(OR(Inputs!$G$57=0,Inputs!$G$57=""),"N/A",IF(AD$2&gt;Inputs!$G$58,"N/A",(AD49+SUM(AD57:AD58))/-AD95))</f>
        <v>N/A</v>
      </c>
      <c r="AE51" s="48" t="str">
        <f>IF(OR(Inputs!$G$57=0,Inputs!$G$57=""),"N/A",IF(AE$2&gt;Inputs!$G$58,"N/A",(AE49+SUM(AE57:AE58))/-AE95))</f>
        <v>N/A</v>
      </c>
      <c r="AF51" s="48" t="str">
        <f>IF(OR(Inputs!$G$57=0,Inputs!$G$57=""),"N/A",IF(AF$2&gt;Inputs!$G$58,"N/A",(AF49+SUM(AF57:AF58))/-AF95))</f>
        <v>N/A</v>
      </c>
      <c r="AG51" s="48" t="str">
        <f>IF(OR(Inputs!$G$57=0,Inputs!$G$57=""),"N/A",IF(AG$2&gt;Inputs!$G$58,"N/A",(AG49+SUM(AG57:AG58))/-AG95))</f>
        <v>N/A</v>
      </c>
      <c r="AH51" s="48" t="str">
        <f>IF(OR(Inputs!$G$57=0,Inputs!$G$57=""),"N/A",IF(AH$2&gt;Inputs!$G$58,"N/A",(AH49+SUM(AH57:AH58))/-AH95))</f>
        <v>N/A</v>
      </c>
      <c r="AI51" s="48" t="str">
        <f>IF(OR(Inputs!$G$57=0,Inputs!$G$57=""),"N/A",IF(AI$2&gt;Inputs!$G$58,"N/A",(AI49+SUM(AI57:AI58))/-AI95))</f>
        <v>N/A</v>
      </c>
      <c r="AJ51" s="48" t="str">
        <f>IF(OR(Inputs!$G$57=0,Inputs!$G$57=""),"N/A",IF(AJ$2&gt;Inputs!$G$58,"N/A",(AJ49+SUM(AJ57:AJ58))/-AJ95))</f>
        <v>N/A</v>
      </c>
    </row>
    <row r="52" spans="1:36" s="31" customFormat="1" ht="16">
      <c r="B52" s="47" t="s">
        <v>282</v>
      </c>
      <c r="C52" s="47"/>
      <c r="D52" s="47"/>
      <c r="E52" s="82"/>
      <c r="F52" s="48"/>
      <c r="G52" s="424" t="str">
        <f t="shared" ref="G52:AJ52" si="10">IF(G51=$F$51,G2,"")</f>
        <v/>
      </c>
      <c r="H52" s="424" t="str">
        <f t="shared" si="10"/>
        <v/>
      </c>
      <c r="I52" s="424" t="str">
        <f t="shared" si="10"/>
        <v/>
      </c>
      <c r="J52" s="424" t="str">
        <f t="shared" si="10"/>
        <v/>
      </c>
      <c r="K52" s="424" t="str">
        <f t="shared" si="10"/>
        <v/>
      </c>
      <c r="L52" s="424" t="str">
        <f t="shared" si="10"/>
        <v/>
      </c>
      <c r="M52" s="424" t="str">
        <f t="shared" si="10"/>
        <v/>
      </c>
      <c r="N52" s="424" t="str">
        <f t="shared" si="10"/>
        <v/>
      </c>
      <c r="O52" s="424" t="str">
        <f t="shared" si="10"/>
        <v/>
      </c>
      <c r="P52" s="424" t="str">
        <f t="shared" si="10"/>
        <v/>
      </c>
      <c r="Q52" s="424" t="str">
        <f t="shared" si="10"/>
        <v/>
      </c>
      <c r="R52" s="424" t="str">
        <f t="shared" si="10"/>
        <v/>
      </c>
      <c r="S52" s="424">
        <f t="shared" si="10"/>
        <v>13</v>
      </c>
      <c r="T52" s="424" t="str">
        <f t="shared" si="10"/>
        <v/>
      </c>
      <c r="U52" s="424" t="str">
        <f t="shared" si="10"/>
        <v/>
      </c>
      <c r="V52" s="424" t="str">
        <f t="shared" si="10"/>
        <v/>
      </c>
      <c r="W52" s="424" t="str">
        <f t="shared" si="10"/>
        <v/>
      </c>
      <c r="X52" s="424" t="str">
        <f t="shared" si="10"/>
        <v/>
      </c>
      <c r="Y52" s="424" t="str">
        <f t="shared" si="10"/>
        <v/>
      </c>
      <c r="Z52" s="424" t="str">
        <f t="shared" si="10"/>
        <v/>
      </c>
      <c r="AA52" s="424" t="str">
        <f t="shared" si="10"/>
        <v/>
      </c>
      <c r="AB52" s="424" t="str">
        <f t="shared" si="10"/>
        <v/>
      </c>
      <c r="AC52" s="424" t="str">
        <f t="shared" si="10"/>
        <v/>
      </c>
      <c r="AD52" s="424" t="str">
        <f t="shared" si="10"/>
        <v/>
      </c>
      <c r="AE52" s="424" t="str">
        <f t="shared" si="10"/>
        <v/>
      </c>
      <c r="AF52" s="424" t="str">
        <f t="shared" si="10"/>
        <v/>
      </c>
      <c r="AG52" s="424" t="str">
        <f t="shared" si="10"/>
        <v/>
      </c>
      <c r="AH52" s="424" t="str">
        <f t="shared" si="10"/>
        <v/>
      </c>
      <c r="AI52" s="424" t="str">
        <f t="shared" si="10"/>
        <v/>
      </c>
      <c r="AJ52" s="424" t="str">
        <f t="shared" si="10"/>
        <v/>
      </c>
    </row>
    <row r="53" spans="1:36" s="29" customFormat="1" ht="16">
      <c r="B53" s="39" t="s">
        <v>120</v>
      </c>
      <c r="C53" s="39"/>
      <c r="D53" s="39"/>
      <c r="E53" s="80"/>
      <c r="F53" s="39"/>
      <c r="G53" s="42">
        <f>G96</f>
        <v>-485450.00000000006</v>
      </c>
      <c r="H53" s="42">
        <f t="shared" ref="H53:AJ53" si="11">H96</f>
        <v>-461346.99577225407</v>
      </c>
      <c r="I53" s="42">
        <f t="shared" si="11"/>
        <v>-435556.78124856565</v>
      </c>
      <c r="J53" s="42">
        <f t="shared" si="11"/>
        <v>-407961.25170821918</v>
      </c>
      <c r="K53" s="42">
        <f t="shared" si="11"/>
        <v>-378434.03510004841</v>
      </c>
      <c r="L53" s="42">
        <f t="shared" si="11"/>
        <v>-346839.91332930577</v>
      </c>
      <c r="M53" s="42">
        <f t="shared" si="11"/>
        <v>-313034.20303461101</v>
      </c>
      <c r="N53" s="42">
        <f t="shared" si="11"/>
        <v>-276862.09301928774</v>
      </c>
      <c r="O53" s="42">
        <f t="shared" si="11"/>
        <v>-238157.93530289171</v>
      </c>
      <c r="P53" s="42">
        <f t="shared" si="11"/>
        <v>-196744.48654634805</v>
      </c>
      <c r="Q53" s="42">
        <f t="shared" si="11"/>
        <v>-152432.09637684631</v>
      </c>
      <c r="R53" s="42">
        <f t="shared" si="11"/>
        <v>-105017.83889547945</v>
      </c>
      <c r="S53" s="42">
        <f t="shared" si="11"/>
        <v>-54284.583390416919</v>
      </c>
      <c r="T53" s="42">
        <f t="shared" si="11"/>
        <v>0</v>
      </c>
      <c r="U53" s="42">
        <f t="shared" si="11"/>
        <v>0</v>
      </c>
      <c r="V53" s="42">
        <f t="shared" si="11"/>
        <v>0</v>
      </c>
      <c r="W53" s="42">
        <f t="shared" si="11"/>
        <v>0</v>
      </c>
      <c r="X53" s="42">
        <f t="shared" si="11"/>
        <v>0</v>
      </c>
      <c r="Y53" s="42">
        <f t="shared" si="11"/>
        <v>0</v>
      </c>
      <c r="Z53" s="42">
        <f t="shared" si="11"/>
        <v>0</v>
      </c>
      <c r="AA53" s="42">
        <f t="shared" si="11"/>
        <v>0</v>
      </c>
      <c r="AB53" s="42">
        <f t="shared" si="11"/>
        <v>0</v>
      </c>
      <c r="AC53" s="42">
        <f t="shared" si="11"/>
        <v>0</v>
      </c>
      <c r="AD53" s="42">
        <f t="shared" si="11"/>
        <v>0</v>
      </c>
      <c r="AE53" s="42">
        <f t="shared" si="11"/>
        <v>0</v>
      </c>
      <c r="AF53" s="42">
        <f t="shared" si="11"/>
        <v>0</v>
      </c>
      <c r="AG53" s="42">
        <f t="shared" si="11"/>
        <v>0</v>
      </c>
      <c r="AH53" s="42">
        <f t="shared" si="11"/>
        <v>0</v>
      </c>
      <c r="AI53" s="42">
        <f t="shared" si="11"/>
        <v>0</v>
      </c>
      <c r="AJ53" s="42">
        <f t="shared" si="11"/>
        <v>0</v>
      </c>
    </row>
    <row r="54" spans="1:36" s="29" customFormat="1" ht="16">
      <c r="B54" s="49" t="s">
        <v>68</v>
      </c>
      <c r="C54" s="49"/>
      <c r="D54" s="49"/>
      <c r="E54" s="82"/>
      <c r="F54" s="49"/>
      <c r="G54" s="50">
        <f>G49+G53</f>
        <v>1108842.4202244109</v>
      </c>
      <c r="H54" s="50">
        <f t="shared" ref="H54:AJ54" si="12">H49+H53</f>
        <v>1082498.3093909323</v>
      </c>
      <c r="I54" s="50">
        <f t="shared" si="12"/>
        <v>1056206.7930345712</v>
      </c>
      <c r="J54" s="50">
        <f t="shared" si="12"/>
        <v>1030027.7458650687</v>
      </c>
      <c r="K54" s="50">
        <f t="shared" si="12"/>
        <v>1098301.7057276857</v>
      </c>
      <c r="L54" s="50">
        <f t="shared" si="12"/>
        <v>1076399.8975612666</v>
      </c>
      <c r="M54" s="50">
        <f t="shared" si="12"/>
        <v>1054985.6090151903</v>
      </c>
      <c r="N54" s="50">
        <f t="shared" si="12"/>
        <v>1034152.4698956164</v>
      </c>
      <c r="O54" s="50">
        <f t="shared" si="12"/>
        <v>1014002.6333682369</v>
      </c>
      <c r="P54" s="50">
        <f t="shared" si="12"/>
        <v>1097235.9206770614</v>
      </c>
      <c r="Q54" s="50">
        <f t="shared" si="12"/>
        <v>1082983.9156345816</v>
      </c>
      <c r="R54" s="50">
        <f t="shared" si="12"/>
        <v>1069950.6515886264</v>
      </c>
      <c r="S54" s="50">
        <f t="shared" si="12"/>
        <v>1058286.5420956959</v>
      </c>
      <c r="T54" s="50">
        <f t="shared" si="12"/>
        <v>1045043.0097464412</v>
      </c>
      <c r="U54" s="50">
        <f t="shared" si="12"/>
        <v>1087059.4903552583</v>
      </c>
      <c r="V54" s="50">
        <f t="shared" si="12"/>
        <v>1022943.143947396</v>
      </c>
      <c r="W54" s="50">
        <f t="shared" si="12"/>
        <v>956769.8567042225</v>
      </c>
      <c r="X54" s="50">
        <f t="shared" si="12"/>
        <v>888466.87291486422</v>
      </c>
      <c r="Y54" s="50">
        <f t="shared" si="12"/>
        <v>817958.69126874954</v>
      </c>
      <c r="Z54" s="50">
        <f t="shared" si="12"/>
        <v>858666.89593878109</v>
      </c>
      <c r="AA54" s="50">
        <f t="shared" si="12"/>
        <v>0</v>
      </c>
      <c r="AB54" s="50">
        <f t="shared" si="12"/>
        <v>0</v>
      </c>
      <c r="AC54" s="50">
        <f t="shared" si="12"/>
        <v>0</v>
      </c>
      <c r="AD54" s="50">
        <f t="shared" si="12"/>
        <v>0</v>
      </c>
      <c r="AE54" s="50">
        <f t="shared" si="12"/>
        <v>0</v>
      </c>
      <c r="AF54" s="50">
        <f t="shared" si="12"/>
        <v>0</v>
      </c>
      <c r="AG54" s="50">
        <f t="shared" si="12"/>
        <v>0</v>
      </c>
      <c r="AH54" s="50">
        <f t="shared" si="12"/>
        <v>0</v>
      </c>
      <c r="AI54" s="50">
        <f t="shared" si="12"/>
        <v>0</v>
      </c>
      <c r="AJ54" s="50">
        <f t="shared" si="12"/>
        <v>0</v>
      </c>
    </row>
    <row r="55" spans="1:36" s="29" customFormat="1" ht="16">
      <c r="B55" s="31"/>
      <c r="C55" s="31"/>
      <c r="D55" s="31"/>
      <c r="E55" s="82"/>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row>
    <row r="56" spans="1:36" s="29" customFormat="1" ht="16">
      <c r="B56" s="36" t="s">
        <v>119</v>
      </c>
      <c r="C56" s="36"/>
      <c r="D56" s="36"/>
      <c r="E56" s="76"/>
      <c r="F56" s="36"/>
      <c r="G56" s="41">
        <f>G97</f>
        <v>-344328.63182494411</v>
      </c>
      <c r="H56" s="41">
        <f t="shared" ref="H56:AJ56" si="13">H97</f>
        <v>-368431.63605269021</v>
      </c>
      <c r="I56" s="41">
        <f t="shared" si="13"/>
        <v>-394221.85057637852</v>
      </c>
      <c r="J56" s="41">
        <f t="shared" si="13"/>
        <v>-421817.38011672505</v>
      </c>
      <c r="K56" s="41">
        <f t="shared" si="13"/>
        <v>-451344.59672489582</v>
      </c>
      <c r="L56" s="41">
        <f t="shared" si="13"/>
        <v>-482938.71849563858</v>
      </c>
      <c r="M56" s="41">
        <f t="shared" si="13"/>
        <v>-516744.42879033327</v>
      </c>
      <c r="N56" s="41">
        <f t="shared" si="13"/>
        <v>-552916.5388056566</v>
      </c>
      <c r="O56" s="41">
        <f t="shared" si="13"/>
        <v>-591620.6965220524</v>
      </c>
      <c r="P56" s="41">
        <f t="shared" si="13"/>
        <v>-633034.1452785962</v>
      </c>
      <c r="Q56" s="41">
        <f t="shared" si="13"/>
        <v>-677346.53544809797</v>
      </c>
      <c r="R56" s="41">
        <f t="shared" si="13"/>
        <v>-724760.79292946483</v>
      </c>
      <c r="S56" s="41">
        <f t="shared" si="13"/>
        <v>-775494.04843452724</v>
      </c>
      <c r="T56" s="41">
        <f t="shared" si="13"/>
        <v>0</v>
      </c>
      <c r="U56" s="41">
        <f t="shared" si="13"/>
        <v>0</v>
      </c>
      <c r="V56" s="41">
        <f t="shared" si="13"/>
        <v>0</v>
      </c>
      <c r="W56" s="41">
        <f t="shared" si="13"/>
        <v>0</v>
      </c>
      <c r="X56" s="41">
        <f t="shared" si="13"/>
        <v>0</v>
      </c>
      <c r="Y56" s="41">
        <f t="shared" si="13"/>
        <v>0</v>
      </c>
      <c r="Z56" s="41">
        <f t="shared" si="13"/>
        <v>0</v>
      </c>
      <c r="AA56" s="41">
        <f t="shared" si="13"/>
        <v>0</v>
      </c>
      <c r="AB56" s="41">
        <f t="shared" si="13"/>
        <v>0</v>
      </c>
      <c r="AC56" s="41">
        <f t="shared" si="13"/>
        <v>0</v>
      </c>
      <c r="AD56" s="41">
        <f t="shared" si="13"/>
        <v>0</v>
      </c>
      <c r="AE56" s="41">
        <f t="shared" si="13"/>
        <v>0</v>
      </c>
      <c r="AF56" s="41">
        <f t="shared" si="13"/>
        <v>0</v>
      </c>
      <c r="AG56" s="41">
        <f t="shared" si="13"/>
        <v>0</v>
      </c>
      <c r="AH56" s="41">
        <f t="shared" si="13"/>
        <v>0</v>
      </c>
      <c r="AI56" s="41">
        <f t="shared" si="13"/>
        <v>0</v>
      </c>
      <c r="AJ56" s="41">
        <f t="shared" si="13"/>
        <v>0</v>
      </c>
    </row>
    <row r="57" spans="1:36" s="38" customFormat="1" ht="16">
      <c r="B57" s="36" t="s">
        <v>182</v>
      </c>
      <c r="C57" s="36"/>
      <c r="D57" s="36"/>
      <c r="E57" s="76"/>
      <c r="F57" s="36"/>
      <c r="G57" s="41">
        <f>-G219</f>
        <v>0</v>
      </c>
      <c r="H57" s="41">
        <f t="shared" ref="H57:AJ57" si="14">-H219</f>
        <v>0</v>
      </c>
      <c r="I57" s="41">
        <f t="shared" si="14"/>
        <v>0</v>
      </c>
      <c r="J57" s="41">
        <f t="shared" si="14"/>
        <v>0</v>
      </c>
      <c r="K57" s="41">
        <f t="shared" si="14"/>
        <v>0</v>
      </c>
      <c r="L57" s="41">
        <f t="shared" si="14"/>
        <v>0</v>
      </c>
      <c r="M57" s="41">
        <f t="shared" si="14"/>
        <v>0</v>
      </c>
      <c r="N57" s="41">
        <f t="shared" si="14"/>
        <v>0</v>
      </c>
      <c r="O57" s="41">
        <f t="shared" si="14"/>
        <v>0</v>
      </c>
      <c r="P57" s="41">
        <f t="shared" si="14"/>
        <v>0</v>
      </c>
      <c r="Q57" s="41">
        <f t="shared" si="14"/>
        <v>0</v>
      </c>
      <c r="R57" s="41">
        <f t="shared" si="14"/>
        <v>0</v>
      </c>
      <c r="S57" s="41">
        <f t="shared" si="14"/>
        <v>0</v>
      </c>
      <c r="T57" s="41">
        <f t="shared" si="14"/>
        <v>414889.31591247208</v>
      </c>
      <c r="U57" s="41">
        <f t="shared" si="14"/>
        <v>0</v>
      </c>
      <c r="V57" s="41">
        <f t="shared" si="14"/>
        <v>0</v>
      </c>
      <c r="W57" s="41">
        <f t="shared" si="14"/>
        <v>0</v>
      </c>
      <c r="X57" s="41">
        <f t="shared" si="14"/>
        <v>0</v>
      </c>
      <c r="Y57" s="41">
        <f t="shared" si="14"/>
        <v>0</v>
      </c>
      <c r="Z57" s="41">
        <f t="shared" si="14"/>
        <v>1064065.6323816241</v>
      </c>
      <c r="AA57" s="41">
        <f t="shared" si="14"/>
        <v>0</v>
      </c>
      <c r="AB57" s="41">
        <f t="shared" si="14"/>
        <v>0</v>
      </c>
      <c r="AC57" s="41">
        <f t="shared" si="14"/>
        <v>0</v>
      </c>
      <c r="AD57" s="41">
        <f t="shared" si="14"/>
        <v>0</v>
      </c>
      <c r="AE57" s="41">
        <f t="shared" si="14"/>
        <v>0</v>
      </c>
      <c r="AF57" s="41">
        <f t="shared" si="14"/>
        <v>0</v>
      </c>
      <c r="AG57" s="41">
        <f t="shared" si="14"/>
        <v>0</v>
      </c>
      <c r="AH57" s="41">
        <f t="shared" si="14"/>
        <v>0</v>
      </c>
      <c r="AI57" s="41">
        <f t="shared" si="14"/>
        <v>0</v>
      </c>
      <c r="AJ57" s="41">
        <f t="shared" si="14"/>
        <v>0</v>
      </c>
    </row>
    <row r="58" spans="1:36" s="38" customFormat="1" ht="16">
      <c r="B58" s="39" t="s">
        <v>183</v>
      </c>
      <c r="C58" s="39"/>
      <c r="D58" s="39"/>
      <c r="E58" s="80"/>
      <c r="F58" s="39"/>
      <c r="G58" s="42">
        <f>MIN(SUM(G211:G215),0)</f>
        <v>0</v>
      </c>
      <c r="H58" s="42">
        <f t="shared" ref="H58:AJ58" si="15">MIN(SUM(H211:H215),0)</f>
        <v>0</v>
      </c>
      <c r="I58" s="42">
        <f t="shared" si="15"/>
        <v>0</v>
      </c>
      <c r="J58" s="42">
        <f t="shared" si="15"/>
        <v>0</v>
      </c>
      <c r="K58" s="42">
        <f t="shared" si="15"/>
        <v>0</v>
      </c>
      <c r="L58" s="42">
        <f t="shared" si="15"/>
        <v>0</v>
      </c>
      <c r="M58" s="42">
        <f t="shared" si="15"/>
        <v>0</v>
      </c>
      <c r="N58" s="42">
        <f t="shared" si="15"/>
        <v>0</v>
      </c>
      <c r="O58" s="42">
        <f t="shared" si="15"/>
        <v>0</v>
      </c>
      <c r="P58" s="42">
        <f t="shared" si="15"/>
        <v>0</v>
      </c>
      <c r="Q58" s="42">
        <f t="shared" si="15"/>
        <v>0</v>
      </c>
      <c r="R58" s="42">
        <f t="shared" si="15"/>
        <v>0</v>
      </c>
      <c r="S58" s="42">
        <f t="shared" si="15"/>
        <v>0</v>
      </c>
      <c r="T58" s="42">
        <f t="shared" si="15"/>
        <v>0</v>
      </c>
      <c r="U58" s="42">
        <f t="shared" si="15"/>
        <v>0</v>
      </c>
      <c r="V58" s="42">
        <f t="shared" si="15"/>
        <v>0</v>
      </c>
      <c r="W58" s="42">
        <f t="shared" si="15"/>
        <v>0</v>
      </c>
      <c r="X58" s="42">
        <f t="shared" si="15"/>
        <v>0</v>
      </c>
      <c r="Y58" s="42">
        <f t="shared" si="15"/>
        <v>0</v>
      </c>
      <c r="Z58" s="42">
        <f t="shared" si="15"/>
        <v>0</v>
      </c>
      <c r="AA58" s="42">
        <f t="shared" si="15"/>
        <v>0</v>
      </c>
      <c r="AB58" s="42">
        <f t="shared" si="15"/>
        <v>0</v>
      </c>
      <c r="AC58" s="42">
        <f t="shared" si="15"/>
        <v>0</v>
      </c>
      <c r="AD58" s="42">
        <f t="shared" si="15"/>
        <v>0</v>
      </c>
      <c r="AE58" s="42">
        <f t="shared" si="15"/>
        <v>0</v>
      </c>
      <c r="AF58" s="42">
        <f t="shared" si="15"/>
        <v>0</v>
      </c>
      <c r="AG58" s="42">
        <f t="shared" si="15"/>
        <v>0</v>
      </c>
      <c r="AH58" s="42">
        <f t="shared" si="15"/>
        <v>0</v>
      </c>
      <c r="AI58" s="42">
        <f t="shared" si="15"/>
        <v>0</v>
      </c>
      <c r="AJ58" s="42">
        <f t="shared" si="15"/>
        <v>0</v>
      </c>
    </row>
    <row r="59" spans="1:36" s="29" customFormat="1" ht="17">
      <c r="A59" s="31"/>
      <c r="B59" s="51" t="s">
        <v>69</v>
      </c>
      <c r="C59" s="51"/>
      <c r="D59" s="51"/>
      <c r="E59" s="334"/>
      <c r="F59" s="334"/>
      <c r="G59" s="44">
        <f>G54+SUM(G56:G58)</f>
        <v>764513.78839946678</v>
      </c>
      <c r="H59" s="44">
        <f t="shared" ref="H59:AJ59" si="16">H54+SUM(H56:H58)</f>
        <v>714066.67333824211</v>
      </c>
      <c r="I59" s="44">
        <f t="shared" si="16"/>
        <v>661984.9424581927</v>
      </c>
      <c r="J59" s="44">
        <f t="shared" si="16"/>
        <v>608210.36574834376</v>
      </c>
      <c r="K59" s="44">
        <f t="shared" si="16"/>
        <v>646957.10900278995</v>
      </c>
      <c r="L59" s="44">
        <f t="shared" si="16"/>
        <v>593461.17906562798</v>
      </c>
      <c r="M59" s="44">
        <f t="shared" si="16"/>
        <v>538241.18022485706</v>
      </c>
      <c r="N59" s="44">
        <f t="shared" si="16"/>
        <v>481235.93108995981</v>
      </c>
      <c r="O59" s="44">
        <f t="shared" si="16"/>
        <v>422381.93684618454</v>
      </c>
      <c r="P59" s="44">
        <f t="shared" si="16"/>
        <v>464201.77539846522</v>
      </c>
      <c r="Q59" s="44">
        <f t="shared" si="16"/>
        <v>405637.38018648361</v>
      </c>
      <c r="R59" s="44">
        <f t="shared" si="16"/>
        <v>345189.8586591616</v>
      </c>
      <c r="S59" s="44">
        <f t="shared" si="16"/>
        <v>282792.49366116861</v>
      </c>
      <c r="T59" s="44">
        <f t="shared" si="16"/>
        <v>1459932.3256589132</v>
      </c>
      <c r="U59" s="44">
        <f t="shared" si="16"/>
        <v>1087059.4903552583</v>
      </c>
      <c r="V59" s="44">
        <f t="shared" si="16"/>
        <v>1022943.143947396</v>
      </c>
      <c r="W59" s="44">
        <f t="shared" si="16"/>
        <v>956769.8567042225</v>
      </c>
      <c r="X59" s="44">
        <f t="shared" si="16"/>
        <v>888466.87291486422</v>
      </c>
      <c r="Y59" s="44">
        <f t="shared" si="16"/>
        <v>817958.69126874954</v>
      </c>
      <c r="Z59" s="44">
        <f t="shared" si="16"/>
        <v>1922732.5283204052</v>
      </c>
      <c r="AA59" s="44">
        <f t="shared" si="16"/>
        <v>0</v>
      </c>
      <c r="AB59" s="44">
        <f t="shared" si="16"/>
        <v>0</v>
      </c>
      <c r="AC59" s="44">
        <f t="shared" si="16"/>
        <v>0</v>
      </c>
      <c r="AD59" s="44">
        <f t="shared" si="16"/>
        <v>0</v>
      </c>
      <c r="AE59" s="44">
        <f t="shared" si="16"/>
        <v>0</v>
      </c>
      <c r="AF59" s="44">
        <f t="shared" si="16"/>
        <v>0</v>
      </c>
      <c r="AG59" s="44">
        <f t="shared" si="16"/>
        <v>0</v>
      </c>
      <c r="AH59" s="44">
        <f t="shared" si="16"/>
        <v>0</v>
      </c>
      <c r="AI59" s="44">
        <f t="shared" si="16"/>
        <v>0</v>
      </c>
      <c r="AJ59" s="44">
        <f t="shared" si="16"/>
        <v>0</v>
      </c>
    </row>
    <row r="60" spans="1:36" s="29" customFormat="1" ht="16">
      <c r="B60" s="34"/>
      <c r="C60" s="34"/>
      <c r="D60" s="34"/>
      <c r="G60" s="52"/>
    </row>
    <row r="61" spans="1:36" s="29" customFormat="1" ht="16">
      <c r="B61" s="30" t="s">
        <v>70</v>
      </c>
      <c r="C61" s="30"/>
      <c r="D61" s="30"/>
      <c r="F61" s="87"/>
      <c r="G61" s="52"/>
    </row>
    <row r="62" spans="1:36" s="29" customFormat="1" ht="16">
      <c r="B62" s="31" t="s">
        <v>256</v>
      </c>
      <c r="C62" s="31"/>
      <c r="D62" s="31"/>
      <c r="F62" s="52">
        <f>-(Inputs!$G$30-Inputs!$G$75-$F$92)</f>
        <v>-10402500</v>
      </c>
      <c r="G62" s="52">
        <v>0</v>
      </c>
      <c r="H62" s="52">
        <v>0</v>
      </c>
      <c r="I62" s="52">
        <v>0</v>
      </c>
      <c r="J62" s="52">
        <v>0</v>
      </c>
      <c r="K62" s="52">
        <v>0</v>
      </c>
      <c r="L62" s="52">
        <v>0</v>
      </c>
      <c r="M62" s="52">
        <v>0</v>
      </c>
      <c r="N62" s="52">
        <v>0</v>
      </c>
      <c r="O62" s="52">
        <v>0</v>
      </c>
      <c r="P62" s="52">
        <v>0</v>
      </c>
      <c r="Q62" s="52">
        <v>0</v>
      </c>
      <c r="R62" s="52">
        <v>0</v>
      </c>
      <c r="S62" s="52">
        <v>0</v>
      </c>
      <c r="T62" s="52">
        <v>0</v>
      </c>
      <c r="U62" s="52">
        <v>0</v>
      </c>
      <c r="V62" s="52">
        <v>0</v>
      </c>
      <c r="W62" s="52">
        <v>0</v>
      </c>
      <c r="X62" s="52">
        <v>0</v>
      </c>
      <c r="Y62" s="52">
        <v>0</v>
      </c>
      <c r="Z62" s="52">
        <v>0</v>
      </c>
      <c r="AA62" s="52">
        <v>0</v>
      </c>
      <c r="AB62" s="52">
        <v>0</v>
      </c>
      <c r="AC62" s="52">
        <v>0</v>
      </c>
      <c r="AD62" s="52">
        <v>0</v>
      </c>
      <c r="AE62" s="52">
        <v>0</v>
      </c>
      <c r="AF62" s="52">
        <v>0</v>
      </c>
      <c r="AG62" s="52">
        <v>0</v>
      </c>
      <c r="AH62" s="52">
        <v>0</v>
      </c>
      <c r="AI62" s="52">
        <v>0</v>
      </c>
      <c r="AJ62" s="52">
        <v>0</v>
      </c>
    </row>
    <row r="63" spans="1:36" s="29" customFormat="1" ht="16">
      <c r="B63" s="40" t="s">
        <v>69</v>
      </c>
      <c r="C63" s="40"/>
      <c r="D63" s="40"/>
      <c r="E63" s="40"/>
      <c r="F63" s="40"/>
      <c r="G63" s="53">
        <f>G59</f>
        <v>764513.78839946678</v>
      </c>
      <c r="H63" s="53">
        <f t="shared" ref="H63:AJ63" si="17">H59</f>
        <v>714066.67333824211</v>
      </c>
      <c r="I63" s="53">
        <f t="shared" si="17"/>
        <v>661984.9424581927</v>
      </c>
      <c r="J63" s="53">
        <f t="shared" si="17"/>
        <v>608210.36574834376</v>
      </c>
      <c r="K63" s="53">
        <f t="shared" si="17"/>
        <v>646957.10900278995</v>
      </c>
      <c r="L63" s="53">
        <f t="shared" si="17"/>
        <v>593461.17906562798</v>
      </c>
      <c r="M63" s="53">
        <f t="shared" si="17"/>
        <v>538241.18022485706</v>
      </c>
      <c r="N63" s="53">
        <f t="shared" si="17"/>
        <v>481235.93108995981</v>
      </c>
      <c r="O63" s="53">
        <f t="shared" si="17"/>
        <v>422381.93684618454</v>
      </c>
      <c r="P63" s="53">
        <f t="shared" si="17"/>
        <v>464201.77539846522</v>
      </c>
      <c r="Q63" s="53">
        <f t="shared" si="17"/>
        <v>405637.38018648361</v>
      </c>
      <c r="R63" s="53">
        <f t="shared" si="17"/>
        <v>345189.8586591616</v>
      </c>
      <c r="S63" s="53">
        <f t="shared" si="17"/>
        <v>282792.49366116861</v>
      </c>
      <c r="T63" s="53">
        <f t="shared" si="17"/>
        <v>1459932.3256589132</v>
      </c>
      <c r="U63" s="53">
        <f t="shared" si="17"/>
        <v>1087059.4903552583</v>
      </c>
      <c r="V63" s="53">
        <f t="shared" si="17"/>
        <v>1022943.143947396</v>
      </c>
      <c r="W63" s="53">
        <f t="shared" si="17"/>
        <v>956769.8567042225</v>
      </c>
      <c r="X63" s="53">
        <f t="shared" si="17"/>
        <v>888466.87291486422</v>
      </c>
      <c r="Y63" s="53">
        <f t="shared" si="17"/>
        <v>817958.69126874954</v>
      </c>
      <c r="Z63" s="53">
        <f t="shared" si="17"/>
        <v>1922732.5283204052</v>
      </c>
      <c r="AA63" s="53">
        <f t="shared" si="17"/>
        <v>0</v>
      </c>
      <c r="AB63" s="53">
        <f t="shared" si="17"/>
        <v>0</v>
      </c>
      <c r="AC63" s="53">
        <f t="shared" si="17"/>
        <v>0</v>
      </c>
      <c r="AD63" s="53">
        <f t="shared" si="17"/>
        <v>0</v>
      </c>
      <c r="AE63" s="53">
        <f t="shared" si="17"/>
        <v>0</v>
      </c>
      <c r="AF63" s="53">
        <f t="shared" si="17"/>
        <v>0</v>
      </c>
      <c r="AG63" s="53">
        <f t="shared" si="17"/>
        <v>0</v>
      </c>
      <c r="AH63" s="53">
        <f t="shared" si="17"/>
        <v>0</v>
      </c>
      <c r="AI63" s="53">
        <f t="shared" si="17"/>
        <v>0</v>
      </c>
      <c r="AJ63" s="53">
        <f t="shared" si="17"/>
        <v>0</v>
      </c>
    </row>
    <row r="64" spans="1:36" s="29" customFormat="1" ht="17">
      <c r="B64" s="51" t="s">
        <v>121</v>
      </c>
      <c r="C64" s="51"/>
      <c r="D64" s="51"/>
      <c r="E64" s="397"/>
      <c r="F64" s="52">
        <f t="shared" ref="F64:AJ64" si="18">SUM(F62:F63)</f>
        <v>-10402500</v>
      </c>
      <c r="G64" s="52">
        <f t="shared" si="18"/>
        <v>764513.78839946678</v>
      </c>
      <c r="H64" s="52">
        <f t="shared" si="18"/>
        <v>714066.67333824211</v>
      </c>
      <c r="I64" s="52">
        <f t="shared" si="18"/>
        <v>661984.9424581927</v>
      </c>
      <c r="J64" s="52">
        <f t="shared" si="18"/>
        <v>608210.36574834376</v>
      </c>
      <c r="K64" s="52">
        <f t="shared" si="18"/>
        <v>646957.10900278995</v>
      </c>
      <c r="L64" s="52">
        <f t="shared" si="18"/>
        <v>593461.17906562798</v>
      </c>
      <c r="M64" s="52">
        <f t="shared" si="18"/>
        <v>538241.18022485706</v>
      </c>
      <c r="N64" s="52">
        <f t="shared" si="18"/>
        <v>481235.93108995981</v>
      </c>
      <c r="O64" s="52">
        <f t="shared" si="18"/>
        <v>422381.93684618454</v>
      </c>
      <c r="P64" s="52">
        <f t="shared" si="18"/>
        <v>464201.77539846522</v>
      </c>
      <c r="Q64" s="52">
        <f t="shared" si="18"/>
        <v>405637.38018648361</v>
      </c>
      <c r="R64" s="52">
        <f t="shared" si="18"/>
        <v>345189.8586591616</v>
      </c>
      <c r="S64" s="52">
        <f t="shared" si="18"/>
        <v>282792.49366116861</v>
      </c>
      <c r="T64" s="52">
        <f t="shared" si="18"/>
        <v>1459932.3256589132</v>
      </c>
      <c r="U64" s="52">
        <f t="shared" si="18"/>
        <v>1087059.4903552583</v>
      </c>
      <c r="V64" s="52">
        <f t="shared" si="18"/>
        <v>1022943.143947396</v>
      </c>
      <c r="W64" s="52">
        <f t="shared" si="18"/>
        <v>956769.8567042225</v>
      </c>
      <c r="X64" s="52">
        <f t="shared" si="18"/>
        <v>888466.87291486422</v>
      </c>
      <c r="Y64" s="52">
        <f t="shared" si="18"/>
        <v>817958.69126874954</v>
      </c>
      <c r="Z64" s="52">
        <f t="shared" si="18"/>
        <v>1922732.5283204052</v>
      </c>
      <c r="AA64" s="52">
        <f t="shared" si="18"/>
        <v>0</v>
      </c>
      <c r="AB64" s="52">
        <f t="shared" si="18"/>
        <v>0</v>
      </c>
      <c r="AC64" s="52">
        <f t="shared" si="18"/>
        <v>0</v>
      </c>
      <c r="AD64" s="52">
        <f t="shared" si="18"/>
        <v>0</v>
      </c>
      <c r="AE64" s="52">
        <f t="shared" si="18"/>
        <v>0</v>
      </c>
      <c r="AF64" s="52">
        <f t="shared" si="18"/>
        <v>0</v>
      </c>
      <c r="AG64" s="52">
        <f t="shared" si="18"/>
        <v>0</v>
      </c>
      <c r="AH64" s="52">
        <f t="shared" si="18"/>
        <v>0</v>
      </c>
      <c r="AI64" s="52">
        <f t="shared" si="18"/>
        <v>0</v>
      </c>
      <c r="AJ64" s="52">
        <f t="shared" si="18"/>
        <v>0</v>
      </c>
    </row>
    <row r="65" spans="2:36" s="29" customFormat="1" ht="17">
      <c r="B65" s="54" t="s">
        <v>71</v>
      </c>
      <c r="C65" s="54"/>
      <c r="D65" s="54"/>
      <c r="E65" s="52"/>
      <c r="F65" s="85"/>
      <c r="G65" s="380">
        <f>IF(ISERROR(IRR($F64:G64)),"NA",IRR($F64:G64))</f>
        <v>-0.92650672546027713</v>
      </c>
      <c r="H65" s="380">
        <f>IF(ISERROR(IRR($F64:H64)),"NA",IRR($F64:H64))</f>
        <v>-0.69868943567379094</v>
      </c>
      <c r="I65" s="380">
        <f>IF(ISERROR(IRR($F64:I64)),"NA",IRR($F64:I64))</f>
        <v>-0.51476565800444529</v>
      </c>
      <c r="J65" s="380">
        <f>IF(ISERROR(IRR($F64:J64)),"NA",IRR($F64:J64))</f>
        <v>-0.38845687758014091</v>
      </c>
      <c r="K65" s="380">
        <f>IF(ISERROR(IRR($F64:K64)),"NA",IRR($F64:K64))</f>
        <v>-0.29153617993586733</v>
      </c>
      <c r="L65" s="380">
        <f>IF(ISERROR(IRR($F64:L64)),"NA",IRR($F64:L64))</f>
        <v>-0.22620341207155681</v>
      </c>
      <c r="M65" s="380">
        <f>IF(ISERROR(IRR($F64:M64)),"NA",IRR($F64:M64))</f>
        <v>-0.18010384316014805</v>
      </c>
      <c r="N65" s="380">
        <f>IF(ISERROR(IRR($F64:N64)),"NA",IRR($F64:N64))</f>
        <v>-0.14669129828333916</v>
      </c>
      <c r="O65" s="380">
        <f>IF(ISERROR(IRR($F64:O64)),"NA",IRR($F64:O64))</f>
        <v>-0.12208408325514308</v>
      </c>
      <c r="P65" s="380">
        <f>IF(ISERROR(IRR($F64:P64)),"NA",IRR($F64:P64))</f>
        <v>-9.9398623172519907E-2</v>
      </c>
      <c r="Q65" s="380">
        <f>IF(ISERROR(IRR($F64:Q64)),"NA",IRR($F64:Q64))</f>
        <v>-8.2687837836592726E-2</v>
      </c>
      <c r="R65" s="380">
        <f>IF(ISERROR(IRR($F64:R64)),"NA",IRR($F64:R64))</f>
        <v>-7.0278219336586734E-2</v>
      </c>
      <c r="S65" s="380">
        <f>IF(ISERROR(IRR($F64:S64)),"NA",IRR($F64:S64))</f>
        <v>-6.1140117025159868E-2</v>
      </c>
      <c r="T65" s="380">
        <f>IF(ISERROR(IRR($F64:T64)),"NA",IRR($F64:T64))</f>
        <v>-2.7582975893623352E-2</v>
      </c>
      <c r="U65" s="380">
        <f>IF(ISERROR(IRR($F64:U64)),"NA",IRR($F64:U64))</f>
        <v>-1.1028125657321586E-2</v>
      </c>
      <c r="V65" s="380">
        <f>IF(ISERROR(IRR($F64:V64)),"NA",IRR($F64:V64))</f>
        <v>1.022003805990046E-3</v>
      </c>
      <c r="W65" s="380">
        <f>IF(ISERROR(IRR($F64:W64)),"NA",IRR($F64:W64))</f>
        <v>1.0144644168682104E-2</v>
      </c>
      <c r="X65" s="380">
        <f>IF(ISERROR(IRR($F64:X64)),"NA",IRR($F64:X64))</f>
        <v>1.7212902108118877E-2</v>
      </c>
      <c r="Y65" s="380">
        <f>IF(ISERROR(IRR($F64:Y64)),"NA",IRR($F64:Y64))</f>
        <v>2.2765566702265261E-2</v>
      </c>
      <c r="Z65" s="380">
        <f>IF(ISERROR(IRR($F64:Z64)),"NA",IRR($F64:Z64))</f>
        <v>3.3267662564944622E-2</v>
      </c>
      <c r="AA65" s="380">
        <f>IF(ISERROR(IRR($F64:AA64)),"NA",IRR($F64:AA64))</f>
        <v>3.3267662564944622E-2</v>
      </c>
      <c r="AB65" s="380">
        <f>IF(ISERROR(IRR($F64:AB64)),"NA",IRR($F64:AB64))</f>
        <v>3.3267662564944622E-2</v>
      </c>
      <c r="AC65" s="380">
        <f>IF(ISERROR(IRR($F64:AC64)),"NA",IRR($F64:AC64))</f>
        <v>3.3267662564944622E-2</v>
      </c>
      <c r="AD65" s="380">
        <f>IF(ISERROR(IRR($F64:AD64)),"NA",IRR($F64:AD64))</f>
        <v>3.3267662564944622E-2</v>
      </c>
      <c r="AE65" s="380">
        <f>IF(ISERROR(IRR($F64:AE64)),"NA",IRR($F64:AE64))</f>
        <v>3.3267662564944622E-2</v>
      </c>
      <c r="AF65" s="380">
        <f>IF(ISERROR(IRR($F64:AF64)),"NA",IRR($F64:AF64))</f>
        <v>3.3267662564944622E-2</v>
      </c>
      <c r="AG65" s="380">
        <f>IF(ISERROR(IRR($F64:AG64)),"NA",IRR($F64:AG64))</f>
        <v>3.3267662564944622E-2</v>
      </c>
      <c r="AH65" s="380">
        <f>IF(ISERROR(IRR($F64:AH64)),"NA",IRR($F64:AH64))</f>
        <v>3.3267662564944622E-2</v>
      </c>
      <c r="AI65" s="380">
        <f>IF(ISERROR(IRR($F64:AI64)),"NA",IRR($F64:AI64))</f>
        <v>3.3267662564944622E-2</v>
      </c>
      <c r="AJ65" s="380">
        <f>IF(ISERROR(IRR($F64:AJ64)),"NA",IRR($F64:AJ64))</f>
        <v>3.3267662564944622E-2</v>
      </c>
    </row>
    <row r="66" spans="2:36" s="29" customFormat="1" ht="16">
      <c r="B66" s="54"/>
      <c r="C66" s="54"/>
      <c r="D66" s="54"/>
      <c r="E66" s="52"/>
      <c r="F66" s="8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2:36" s="29" customFormat="1" ht="17">
      <c r="B67" s="389" t="s">
        <v>153</v>
      </c>
      <c r="C67" s="389"/>
      <c r="D67" s="389"/>
      <c r="E67" s="40"/>
      <c r="F67" s="343"/>
      <c r="G67" s="53">
        <f t="shared" ref="G67:AJ67" si="19">-G152</f>
        <v>-2820345.3046875005</v>
      </c>
      <c r="H67" s="53">
        <f t="shared" si="19"/>
        <v>-4519208.1300962502</v>
      </c>
      <c r="I67" s="53">
        <f t="shared" si="19"/>
        <v>-2724363.4622074999</v>
      </c>
      <c r="J67" s="53">
        <f t="shared" si="19"/>
        <v>-1646570.8310387498</v>
      </c>
      <c r="K67" s="53">
        <f t="shared" si="19"/>
        <v>-1644159.668505</v>
      </c>
      <c r="L67" s="53">
        <f t="shared" si="19"/>
        <v>-835596.64163750003</v>
      </c>
      <c r="M67" s="53">
        <f t="shared" si="19"/>
        <v>-27906.339442500001</v>
      </c>
      <c r="N67" s="53">
        <f t="shared" si="19"/>
        <v>-27361.258845</v>
      </c>
      <c r="O67" s="53">
        <f t="shared" si="19"/>
        <v>-27294.240738749999</v>
      </c>
      <c r="P67" s="53">
        <f t="shared" si="19"/>
        <v>-27270.41207875</v>
      </c>
      <c r="Q67" s="53">
        <f t="shared" si="19"/>
        <v>-27294.240738749999</v>
      </c>
      <c r="R67" s="53">
        <f t="shared" si="19"/>
        <v>-27270.41207875</v>
      </c>
      <c r="S67" s="53">
        <f t="shared" si="19"/>
        <v>-27294.240738749999</v>
      </c>
      <c r="T67" s="53">
        <f t="shared" si="19"/>
        <v>-27270.41207875</v>
      </c>
      <c r="U67" s="53">
        <f t="shared" si="19"/>
        <v>-27294.240738749999</v>
      </c>
      <c r="V67" s="53">
        <f t="shared" si="19"/>
        <v>-20680.298297499998</v>
      </c>
      <c r="W67" s="53">
        <f t="shared" si="19"/>
        <v>-14091.673807499999</v>
      </c>
      <c r="X67" s="53">
        <f t="shared" si="19"/>
        <v>-14090.184516249999</v>
      </c>
      <c r="Y67" s="53">
        <f t="shared" si="19"/>
        <v>-14091.673807499999</v>
      </c>
      <c r="Z67" s="53">
        <f t="shared" si="19"/>
        <v>-14090.184516249999</v>
      </c>
      <c r="AA67" s="53">
        <f t="shared" si="19"/>
        <v>0</v>
      </c>
      <c r="AB67" s="53">
        <f t="shared" si="19"/>
        <v>0</v>
      </c>
      <c r="AC67" s="53">
        <f t="shared" si="19"/>
        <v>0</v>
      </c>
      <c r="AD67" s="53">
        <f t="shared" si="19"/>
        <v>0</v>
      </c>
      <c r="AE67" s="53">
        <f t="shared" si="19"/>
        <v>0</v>
      </c>
      <c r="AF67" s="53">
        <f t="shared" si="19"/>
        <v>0</v>
      </c>
      <c r="AG67" s="53">
        <f t="shared" si="19"/>
        <v>0</v>
      </c>
      <c r="AH67" s="53">
        <f t="shared" si="19"/>
        <v>0</v>
      </c>
      <c r="AI67" s="53">
        <f t="shared" si="19"/>
        <v>0</v>
      </c>
      <c r="AJ67" s="53">
        <f t="shared" si="19"/>
        <v>0</v>
      </c>
    </row>
    <row r="68" spans="2:36" s="29" customFormat="1" ht="16">
      <c r="B68" s="34" t="s">
        <v>275</v>
      </c>
      <c r="C68" s="34"/>
      <c r="D68" s="34"/>
      <c r="F68" s="86"/>
      <c r="G68" s="84">
        <f>IF(Inputs!$G$79="No",0,(G$54+G$67))</f>
        <v>-1711502.8844630895</v>
      </c>
      <c r="H68" s="84">
        <f>IF(Inputs!$G$79="No",0,(H$54+H$67))</f>
        <v>-3436709.8207053179</v>
      </c>
      <c r="I68" s="84">
        <f>IF(Inputs!$G$79="No",0,(I$54+I$67))</f>
        <v>-1668156.6691729287</v>
      </c>
      <c r="J68" s="84">
        <f>IF(Inputs!$G$79="No",0,(J$54+J$67))</f>
        <v>-616543.08517368103</v>
      </c>
      <c r="K68" s="84">
        <f>IF(Inputs!$G$79="No",0,(K$54+K$67))</f>
        <v>-545857.96277731424</v>
      </c>
      <c r="L68" s="84">
        <f>IF(Inputs!$G$79="No",0,(L$54+L$67))</f>
        <v>240803.25592376653</v>
      </c>
      <c r="M68" s="84">
        <f>IF(Inputs!$G$79="No",0,(M$54+M$67))</f>
        <v>1027079.2695726902</v>
      </c>
      <c r="N68" s="84">
        <f>IF(Inputs!$G$79="No",0,(N$54+N$67))</f>
        <v>1006791.2110506165</v>
      </c>
      <c r="O68" s="84">
        <f>IF(Inputs!$G$79="No",0,(O$54+O$67))</f>
        <v>986708.39262948697</v>
      </c>
      <c r="P68" s="84">
        <f>IF(Inputs!$G$79="No",0,(P$54+P$67))</f>
        <v>1069965.5085983113</v>
      </c>
      <c r="Q68" s="84">
        <f>IF(Inputs!$G$79="No",0,(Q$54+Q$67))</f>
        <v>1055689.6748958316</v>
      </c>
      <c r="R68" s="84">
        <f>IF(Inputs!$G$79="No",0,(R$54+R$67))</f>
        <v>1042680.2395098765</v>
      </c>
      <c r="S68" s="84">
        <f>IF(Inputs!$G$79="No",0,(S$54+S$67))</f>
        <v>1030992.3013569459</v>
      </c>
      <c r="T68" s="84">
        <f>IF(Inputs!$G$79="No",0,(T$54+T$67))</f>
        <v>1017772.5976676912</v>
      </c>
      <c r="U68" s="84">
        <f>IF(Inputs!$G$79="No",0,(U$54+U$67))</f>
        <v>1059765.2496165084</v>
      </c>
      <c r="V68" s="84">
        <f>IF(Inputs!$G$79="No",0,(V$54+V$67))</f>
        <v>1002262.845649896</v>
      </c>
      <c r="W68" s="84">
        <f>IF(Inputs!$G$79="No",0,(W$54+W$67))</f>
        <v>942678.18289672246</v>
      </c>
      <c r="X68" s="84">
        <f>IF(Inputs!$G$79="No",0,(X$54+X$67))</f>
        <v>874376.68839861418</v>
      </c>
      <c r="Y68" s="84">
        <f>IF(Inputs!$G$79="No",0,(Y$54+Y$67))</f>
        <v>803867.01746124949</v>
      </c>
      <c r="Z68" s="84">
        <f>IF(Inputs!$G$79="No",0,(Z$54+Z$67))</f>
        <v>844576.71142253105</v>
      </c>
      <c r="AA68" s="84">
        <f>IF(Inputs!$G$79="No",0,(AA$54+AA$67))</f>
        <v>0</v>
      </c>
      <c r="AB68" s="84">
        <f>IF(Inputs!$G$79="No",0,(AB$54+AB$67))</f>
        <v>0</v>
      </c>
      <c r="AC68" s="84">
        <f>IF(Inputs!$G$79="No",0,(AC$54+AC$67))</f>
        <v>0</v>
      </c>
      <c r="AD68" s="84">
        <f>IF(Inputs!$G$79="No",0,(AD$54+AD$67))</f>
        <v>0</v>
      </c>
      <c r="AE68" s="84">
        <f>IF(Inputs!$G$79="No",0,(AE$54+AE$67))</f>
        <v>0</v>
      </c>
      <c r="AF68" s="84">
        <f>IF(Inputs!$G$79="No",0,(AF$54+AF$67))</f>
        <v>0</v>
      </c>
      <c r="AG68" s="84">
        <f>IF(Inputs!$G$79="No",0,(AG$54+AG$67))</f>
        <v>0</v>
      </c>
      <c r="AH68" s="84">
        <f>IF(Inputs!$G$79="No",0,(AH$54+AH$67))</f>
        <v>0</v>
      </c>
      <c r="AI68" s="84">
        <f>IF(Inputs!$G$79="No",0,(AI$54+AI$67))</f>
        <v>0</v>
      </c>
      <c r="AJ68" s="84">
        <f>IF(Inputs!$G$79="No",0,(AJ$54+AJ$67))</f>
        <v>0</v>
      </c>
    </row>
    <row r="69" spans="2:36" s="29" customFormat="1" ht="16">
      <c r="B69" s="51"/>
      <c r="C69" s="51"/>
      <c r="D69" s="51"/>
      <c r="F69" s="86"/>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row>
    <row r="70" spans="2:36" s="29" customFormat="1" ht="16">
      <c r="B70" s="34" t="s">
        <v>276</v>
      </c>
      <c r="C70" s="34"/>
      <c r="D70" s="34"/>
      <c r="F70" s="344" t="str">
        <f>Inputs!G81</f>
        <v>As Generated</v>
      </c>
      <c r="G70" s="84">
        <f t="shared" ref="G70:AJ70" si="20">IF($F$70="as generated",G$68,G$167)</f>
        <v>-1711502.8844630895</v>
      </c>
      <c r="H70" s="84">
        <f t="shared" si="20"/>
        <v>-3436709.8207053179</v>
      </c>
      <c r="I70" s="84">
        <f t="shared" si="20"/>
        <v>-1668156.6691729287</v>
      </c>
      <c r="J70" s="84">
        <f t="shared" si="20"/>
        <v>-616543.08517368103</v>
      </c>
      <c r="K70" s="84">
        <f t="shared" si="20"/>
        <v>-545857.96277731424</v>
      </c>
      <c r="L70" s="84">
        <f t="shared" si="20"/>
        <v>240803.25592376653</v>
      </c>
      <c r="M70" s="84">
        <f t="shared" si="20"/>
        <v>1027079.2695726902</v>
      </c>
      <c r="N70" s="84">
        <f t="shared" si="20"/>
        <v>1006791.2110506165</v>
      </c>
      <c r="O70" s="84">
        <f t="shared" si="20"/>
        <v>986708.39262948697</v>
      </c>
      <c r="P70" s="84">
        <f t="shared" si="20"/>
        <v>1069965.5085983113</v>
      </c>
      <c r="Q70" s="84">
        <f t="shared" si="20"/>
        <v>1055689.6748958316</v>
      </c>
      <c r="R70" s="84">
        <f t="shared" si="20"/>
        <v>1042680.2395098765</v>
      </c>
      <c r="S70" s="84">
        <f t="shared" si="20"/>
        <v>1030992.3013569459</v>
      </c>
      <c r="T70" s="84">
        <f t="shared" si="20"/>
        <v>1017772.5976676912</v>
      </c>
      <c r="U70" s="84">
        <f t="shared" si="20"/>
        <v>1059765.2496165084</v>
      </c>
      <c r="V70" s="84">
        <f t="shared" si="20"/>
        <v>1002262.845649896</v>
      </c>
      <c r="W70" s="84">
        <f t="shared" si="20"/>
        <v>942678.18289672246</v>
      </c>
      <c r="X70" s="84">
        <f t="shared" si="20"/>
        <v>874376.68839861418</v>
      </c>
      <c r="Y70" s="84">
        <f t="shared" si="20"/>
        <v>803867.01746124949</v>
      </c>
      <c r="Z70" s="84">
        <f t="shared" si="20"/>
        <v>844576.71142253105</v>
      </c>
      <c r="AA70" s="84">
        <f t="shared" si="20"/>
        <v>0</v>
      </c>
      <c r="AB70" s="84">
        <f t="shared" si="20"/>
        <v>0</v>
      </c>
      <c r="AC70" s="84">
        <f t="shared" si="20"/>
        <v>0</v>
      </c>
      <c r="AD70" s="84">
        <f t="shared" si="20"/>
        <v>0</v>
      </c>
      <c r="AE70" s="84">
        <f t="shared" si="20"/>
        <v>0</v>
      </c>
      <c r="AF70" s="84">
        <f t="shared" si="20"/>
        <v>0</v>
      </c>
      <c r="AG70" s="84">
        <f t="shared" si="20"/>
        <v>0</v>
      </c>
      <c r="AH70" s="84">
        <f t="shared" si="20"/>
        <v>0</v>
      </c>
      <c r="AI70" s="84">
        <f t="shared" si="20"/>
        <v>0</v>
      </c>
      <c r="AJ70" s="84">
        <f t="shared" si="20"/>
        <v>0</v>
      </c>
    </row>
    <row r="71" spans="2:36" s="29" customFormat="1" ht="16">
      <c r="B71" s="34" t="s">
        <v>277</v>
      </c>
      <c r="C71" s="34"/>
      <c r="D71" s="34"/>
      <c r="F71" s="344" t="str">
        <f>Inputs!G83</f>
        <v>As Generated</v>
      </c>
      <c r="G71" s="84">
        <f t="shared" ref="G71:AJ71" si="21">IF($F$71="as generated",G$68,G$175)</f>
        <v>-1711502.8844630895</v>
      </c>
      <c r="H71" s="84">
        <f t="shared" si="21"/>
        <v>-3436709.8207053179</v>
      </c>
      <c r="I71" s="84">
        <f t="shared" si="21"/>
        <v>-1668156.6691729287</v>
      </c>
      <c r="J71" s="84">
        <f t="shared" si="21"/>
        <v>-616543.08517368103</v>
      </c>
      <c r="K71" s="84">
        <f t="shared" si="21"/>
        <v>-545857.96277731424</v>
      </c>
      <c r="L71" s="84">
        <f t="shared" si="21"/>
        <v>240803.25592376653</v>
      </c>
      <c r="M71" s="84">
        <f t="shared" si="21"/>
        <v>1027079.2695726902</v>
      </c>
      <c r="N71" s="84">
        <f t="shared" si="21"/>
        <v>1006791.2110506165</v>
      </c>
      <c r="O71" s="84">
        <f t="shared" si="21"/>
        <v>986708.39262948697</v>
      </c>
      <c r="P71" s="84">
        <f t="shared" si="21"/>
        <v>1069965.5085983113</v>
      </c>
      <c r="Q71" s="84">
        <f t="shared" si="21"/>
        <v>1055689.6748958316</v>
      </c>
      <c r="R71" s="84">
        <f t="shared" si="21"/>
        <v>1042680.2395098765</v>
      </c>
      <c r="S71" s="84">
        <f t="shared" si="21"/>
        <v>1030992.3013569459</v>
      </c>
      <c r="T71" s="84">
        <f t="shared" si="21"/>
        <v>1017772.5976676912</v>
      </c>
      <c r="U71" s="84">
        <f t="shared" si="21"/>
        <v>1059765.2496165084</v>
      </c>
      <c r="V71" s="84">
        <f t="shared" si="21"/>
        <v>1002262.845649896</v>
      </c>
      <c r="W71" s="84">
        <f t="shared" si="21"/>
        <v>942678.18289672246</v>
      </c>
      <c r="X71" s="84">
        <f t="shared" si="21"/>
        <v>874376.68839861418</v>
      </c>
      <c r="Y71" s="84">
        <f t="shared" si="21"/>
        <v>803867.01746124949</v>
      </c>
      <c r="Z71" s="84">
        <f t="shared" si="21"/>
        <v>844576.71142253105</v>
      </c>
      <c r="AA71" s="84">
        <f t="shared" si="21"/>
        <v>0</v>
      </c>
      <c r="AB71" s="84">
        <f t="shared" si="21"/>
        <v>0</v>
      </c>
      <c r="AC71" s="84">
        <f t="shared" si="21"/>
        <v>0</v>
      </c>
      <c r="AD71" s="84">
        <f t="shared" si="21"/>
        <v>0</v>
      </c>
      <c r="AE71" s="84">
        <f t="shared" si="21"/>
        <v>0</v>
      </c>
      <c r="AF71" s="84">
        <f t="shared" si="21"/>
        <v>0</v>
      </c>
      <c r="AG71" s="84">
        <f t="shared" si="21"/>
        <v>0</v>
      </c>
      <c r="AH71" s="84">
        <f t="shared" si="21"/>
        <v>0</v>
      </c>
      <c r="AI71" s="84">
        <f t="shared" si="21"/>
        <v>0</v>
      </c>
      <c r="AJ71" s="84">
        <f t="shared" si="21"/>
        <v>0</v>
      </c>
    </row>
    <row r="72" spans="2:36" s="29" customFormat="1" ht="16">
      <c r="B72" s="342"/>
      <c r="C72" s="342"/>
      <c r="D72" s="342"/>
      <c r="F72" s="86"/>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row>
    <row r="73" spans="2:36" s="38" customFormat="1" ht="16">
      <c r="B73" s="36" t="s">
        <v>137</v>
      </c>
      <c r="C73" s="36"/>
      <c r="D73" s="36"/>
      <c r="E73" s="334"/>
      <c r="G73" s="84">
        <f>IF(Inputs!$G$79="No",0,-(G$70+G$74)*Inputs!$G$80)</f>
        <v>548108.79874930438</v>
      </c>
      <c r="H73" s="84">
        <f>IF(Inputs!$G$79="No",0,-(H$70+H$74)*Inputs!$G$80)</f>
        <v>1100606.320080878</v>
      </c>
      <c r="I73" s="84">
        <f>IF(Inputs!$G$79="No",0,-(I$70+I$74)*Inputs!$G$80)</f>
        <v>534227.17330263031</v>
      </c>
      <c r="J73" s="84">
        <f>IF(Inputs!$G$79="No",0,-(J$70+J$74)*Inputs!$G$80)</f>
        <v>197447.92302687134</v>
      </c>
      <c r="K73" s="84">
        <f>IF(Inputs!$G$79="No",0,-(K$70+K$74)*Inputs!$G$80)</f>
        <v>174811.01257943487</v>
      </c>
      <c r="L73" s="84">
        <f>IF(Inputs!$G$79="No",0,-(L$70+L$74)*Inputs!$G$80)</f>
        <v>-77117.242709586222</v>
      </c>
      <c r="M73" s="84">
        <f>IF(Inputs!$G$79="No",0,-(M$70+M$74)*Inputs!$G$80)</f>
        <v>-328922.13608065405</v>
      </c>
      <c r="N73" s="84">
        <f>IF(Inputs!$G$79="No",0,-(N$70+N$74)*Inputs!$G$80)</f>
        <v>-322424.88533895992</v>
      </c>
      <c r="O73" s="84">
        <f>IF(Inputs!$G$79="No",0,-(O$70+O$74)*Inputs!$G$80)</f>
        <v>-315993.36273959314</v>
      </c>
      <c r="P73" s="84">
        <f>IF(Inputs!$G$79="No",0,-(P$70+P$74)*Inputs!$G$80)</f>
        <v>-342656.45412860921</v>
      </c>
      <c r="Q73" s="84">
        <f>IF(Inputs!$G$79="No",0,-(Q$70+Q$74)*Inputs!$G$80)</f>
        <v>-338084.61838539003</v>
      </c>
      <c r="R73" s="84">
        <f>IF(Inputs!$G$79="No",0,-(R$70+R$74)*Inputs!$G$80)</f>
        <v>-333918.34670303791</v>
      </c>
      <c r="S73" s="84">
        <f>IF(Inputs!$G$79="No",0,-(S$70+S$74)*Inputs!$G$80)</f>
        <v>-330175.2845095619</v>
      </c>
      <c r="T73" s="84">
        <f>IF(Inputs!$G$79="No",0,-(T$70+T$74)*Inputs!$G$80)</f>
        <v>-325941.6744030781</v>
      </c>
      <c r="U73" s="84">
        <f>IF(Inputs!$G$79="No",0,-(U$70+U$74)*Inputs!$G$80)</f>
        <v>-339389.82118968677</v>
      </c>
      <c r="V73" s="84">
        <f>IF(Inputs!$G$79="No",0,-(V$70+V$74)*Inputs!$G$80)</f>
        <v>-320974.67631937913</v>
      </c>
      <c r="W73" s="84">
        <f>IF(Inputs!$G$79="No",0,-(W$70+W$74)*Inputs!$G$80)</f>
        <v>-301892.68807267537</v>
      </c>
      <c r="X73" s="84">
        <f>IF(Inputs!$G$79="No",0,-(X$70+X$74)*Inputs!$G$80)</f>
        <v>-280019.1344596562</v>
      </c>
      <c r="Y73" s="84">
        <f>IF(Inputs!$G$79="No",0,-(Y$70+Y$74)*Inputs!$G$80)</f>
        <v>-257438.41234196513</v>
      </c>
      <c r="Z73" s="84">
        <f>IF(Inputs!$G$79="No",0,-(Z$70+Z$74)*Inputs!$G$80)</f>
        <v>-270475.69183306553</v>
      </c>
      <c r="AA73" s="84">
        <f>IF(Inputs!$G$79="No",0,-(AA$70+AA$74)*Inputs!$G$80)</f>
        <v>0</v>
      </c>
      <c r="AB73" s="84">
        <f>IF(Inputs!$G$79="No",0,-(AB$70+AB$74)*Inputs!$G$80)</f>
        <v>0</v>
      </c>
      <c r="AC73" s="84">
        <f>IF(Inputs!$G$79="No",0,-(AC$70+AC$74)*Inputs!$G$80)</f>
        <v>0</v>
      </c>
      <c r="AD73" s="84">
        <f>IF(Inputs!$G$79="No",0,-(AD$70+AD$74)*Inputs!$G$80)</f>
        <v>0</v>
      </c>
      <c r="AE73" s="84">
        <f>IF(Inputs!$G$79="No",0,-(AE$70+AE$74)*Inputs!$G$80)</f>
        <v>0</v>
      </c>
      <c r="AF73" s="84">
        <f>IF(Inputs!$G$79="No",0,-(AF$70+AF$74)*Inputs!$G$80)</f>
        <v>0</v>
      </c>
      <c r="AG73" s="84">
        <f>IF(Inputs!$G$79="No",0,-(AG$70+AG$74)*Inputs!$G$80)</f>
        <v>0</v>
      </c>
      <c r="AH73" s="84">
        <f>IF(Inputs!$G$79="No",0,-(AH$70+AH$74)*Inputs!$G$80)</f>
        <v>0</v>
      </c>
      <c r="AI73" s="84">
        <f>IF(Inputs!$G$79="No",0,-(AI$70+AI$74)*Inputs!$G$80)</f>
        <v>0</v>
      </c>
      <c r="AJ73" s="84">
        <f>IF(Inputs!$G$79="No",0,-(AJ$70+AJ$74)*Inputs!$G$80)</f>
        <v>0</v>
      </c>
    </row>
    <row r="74" spans="2:36" s="38" customFormat="1" ht="16">
      <c r="B74" s="36" t="s">
        <v>174</v>
      </c>
      <c r="C74" s="36"/>
      <c r="D74" s="36"/>
      <c r="G74" s="84">
        <f>IF(Inputs!$G$79="No",0,-(G$71-IF(AND(Inputs!$Q$43="Cash",Inputs!$Q$45="No"),'Cash Flow'!G$28,0))*Inputs!$G$82)</f>
        <v>145477.74517936262</v>
      </c>
      <c r="H74" s="84">
        <f>IF(Inputs!$G$79="No",0,-(H$71-IF(AND(Inputs!$Q$43="Cash",Inputs!$Q$45="No"),'Cash Flow'!H$28,0))*Inputs!$G$82)</f>
        <v>292120.33475995203</v>
      </c>
      <c r="I74" s="84">
        <f>IF(Inputs!$G$79="No",0,-(I$71-IF(AND(Inputs!$Q$43="Cash",Inputs!$Q$45="No"),'Cash Flow'!I$28,0))*Inputs!$G$82)</f>
        <v>141793.31687969895</v>
      </c>
      <c r="J74" s="84">
        <f>IF(Inputs!$G$79="No",0,-(J$71-IF(AND(Inputs!$Q$43="Cash",Inputs!$Q$45="No"),'Cash Flow'!J$28,0))*Inputs!$G$82)</f>
        <v>52406.162239762889</v>
      </c>
      <c r="K74" s="84">
        <f>IF(Inputs!$G$79="No",0,-(K$71-IF(AND(Inputs!$Q$43="Cash",Inputs!$Q$45="No"),'Cash Flow'!K$28,0))*Inputs!$G$82)</f>
        <v>46397.926836071711</v>
      </c>
      <c r="L74" s="84">
        <f>IF(Inputs!$G$79="No",0,-(L$71-IF(AND(Inputs!$Q$43="Cash",Inputs!$Q$45="No"),'Cash Flow'!L$28,0))*Inputs!$G$82)</f>
        <v>-20468.276753520156</v>
      </c>
      <c r="M74" s="84">
        <f>IF(Inputs!$G$79="No",0,-(M$71-IF(AND(Inputs!$Q$43="Cash",Inputs!$Q$45="No"),'Cash Flow'!M$28,0))*Inputs!$G$82)</f>
        <v>-87301.737913678677</v>
      </c>
      <c r="N74" s="84">
        <f>IF(Inputs!$G$79="No",0,-(N$71-IF(AND(Inputs!$Q$43="Cash",Inputs!$Q$45="No"),'Cash Flow'!N$28,0))*Inputs!$G$82)</f>
        <v>-85577.252939302402</v>
      </c>
      <c r="O74" s="84">
        <f>IF(Inputs!$G$79="No",0,-(O$71-IF(AND(Inputs!$Q$43="Cash",Inputs!$Q$45="No"),'Cash Flow'!O$28,0))*Inputs!$G$82)</f>
        <v>-83870.213373506398</v>
      </c>
      <c r="P74" s="84">
        <f>IF(Inputs!$G$79="No",0,-(P$71-IF(AND(Inputs!$Q$43="Cash",Inputs!$Q$45="No"),'Cash Flow'!P$28,0))*Inputs!$G$82)</f>
        <v>-90947.068230856472</v>
      </c>
      <c r="Q74" s="84">
        <f>IF(Inputs!$G$79="No",0,-(Q$71-IF(AND(Inputs!$Q$43="Cash",Inputs!$Q$45="No"),'Cash Flow'!Q$28,0))*Inputs!$G$82)</f>
        <v>-89733.62236614569</v>
      </c>
      <c r="R74" s="84">
        <f>IF(Inputs!$G$79="No",0,-(R$71-IF(AND(Inputs!$Q$43="Cash",Inputs!$Q$45="No"),'Cash Flow'!R$28,0))*Inputs!$G$82)</f>
        <v>-88627.820358339508</v>
      </c>
      <c r="S74" s="84">
        <f>IF(Inputs!$G$79="No",0,-(S$71-IF(AND(Inputs!$Q$43="Cash",Inputs!$Q$45="No"),'Cash Flow'!S$28,0))*Inputs!$G$82)</f>
        <v>-87634.345615340411</v>
      </c>
      <c r="T74" s="84">
        <f>IF(Inputs!$G$79="No",0,-(T$71-IF(AND(Inputs!$Q$43="Cash",Inputs!$Q$45="No"),'Cash Flow'!T$28,0))*Inputs!$G$82)</f>
        <v>-86510.67080175376</v>
      </c>
      <c r="U74" s="84">
        <f>IF(Inputs!$G$79="No",0,-(U$71-IF(AND(Inputs!$Q$43="Cash",Inputs!$Q$45="No"),'Cash Flow'!U$28,0))*Inputs!$G$82)</f>
        <v>-90080.046217403215</v>
      </c>
      <c r="V74" s="84">
        <f>IF(Inputs!$G$79="No",0,-(V$71-IF(AND(Inputs!$Q$43="Cash",Inputs!$Q$45="No"),'Cash Flow'!V$28,0))*Inputs!$G$82)</f>
        <v>-85192.341880241162</v>
      </c>
      <c r="W74" s="84">
        <f>IF(Inputs!$G$79="No",0,-(W$71-IF(AND(Inputs!$Q$43="Cash",Inputs!$Q$45="No"),'Cash Flow'!W$28,0))*Inputs!$G$82)</f>
        <v>-80127.645546221422</v>
      </c>
      <c r="X74" s="84">
        <f>IF(Inputs!$G$79="No",0,-(X$71-IF(AND(Inputs!$Q$43="Cash",Inputs!$Q$45="No"),'Cash Flow'!X$28,0))*Inputs!$G$82)</f>
        <v>-74322.018513882213</v>
      </c>
      <c r="Y74" s="84">
        <f>IF(Inputs!$G$79="No",0,-(Y$71-IF(AND(Inputs!$Q$43="Cash",Inputs!$Q$45="No"),'Cash Flow'!Y$28,0))*Inputs!$G$82)</f>
        <v>-68328.696484206215</v>
      </c>
      <c r="Z74" s="84">
        <f>IF(Inputs!$G$79="No",0,-(Z$71-IF(AND(Inputs!$Q$43="Cash",Inputs!$Q$45="No"),'Cash Flow'!Z$28,0))*Inputs!$G$82)</f>
        <v>-71789.020470915144</v>
      </c>
      <c r="AA74" s="84">
        <f>IF(Inputs!$G$79="No",0,-(AA$71-IF(AND(Inputs!$Q$43="Cash",Inputs!$Q$45="No"),'Cash Flow'!AA$28,0))*Inputs!$G$82)</f>
        <v>0</v>
      </c>
      <c r="AB74" s="84">
        <f>IF(Inputs!$G$79="No",0,-(AB$71-IF(AND(Inputs!$Q$43="Cash",Inputs!$Q$45="No"),'Cash Flow'!AB$28,0))*Inputs!$G$82)</f>
        <v>0</v>
      </c>
      <c r="AC74" s="84">
        <f>IF(Inputs!$G$79="No",0,-(AC$71-IF(AND(Inputs!$Q$43="Cash",Inputs!$Q$45="No"),'Cash Flow'!AC$28,0))*Inputs!$G$82)</f>
        <v>0</v>
      </c>
      <c r="AD74" s="84">
        <f>IF(Inputs!$G$79="No",0,-(AD$71-IF(AND(Inputs!$Q$43="Cash",Inputs!$Q$45="No"),'Cash Flow'!AD$28,0))*Inputs!$G$82)</f>
        <v>0</v>
      </c>
      <c r="AE74" s="84">
        <f>IF(Inputs!$G$79="No",0,-(AE$71-IF(AND(Inputs!$Q$43="Cash",Inputs!$Q$45="No"),'Cash Flow'!AE$28,0))*Inputs!$G$82)</f>
        <v>0</v>
      </c>
      <c r="AF74" s="84">
        <f>IF(Inputs!$G$79="No",0,-(AF$71-IF(AND(Inputs!$Q$43="Cash",Inputs!$Q$45="No"),'Cash Flow'!AF$28,0))*Inputs!$G$82)</f>
        <v>0</v>
      </c>
      <c r="AG74" s="84">
        <f>IF(Inputs!$G$79="No",0,-(AG$71-IF(AND(Inputs!$Q$43="Cash",Inputs!$Q$45="No"),'Cash Flow'!AG$28,0))*Inputs!$G$82)</f>
        <v>0</v>
      </c>
      <c r="AH74" s="84">
        <f>IF(Inputs!$G$79="No",0,-(AH$71-IF(AND(Inputs!$Q$43="Cash",Inputs!$Q$45="No"),'Cash Flow'!AH$28,0))*Inputs!$G$82)</f>
        <v>0</v>
      </c>
      <c r="AI74" s="84">
        <f>IF(Inputs!$G$79="No",0,-(AI$71-IF(AND(Inputs!$Q$43="Cash",Inputs!$Q$45="No"),'Cash Flow'!AI$28,0))*Inputs!$G$82)</f>
        <v>0</v>
      </c>
      <c r="AJ74" s="84">
        <f>IF(Inputs!$G$79="No",0,-(AJ$71-IF(AND(Inputs!$Q$43="Cash",Inputs!$Q$45="No"),'Cash Flow'!AJ$28,0))*Inputs!$G$82)</f>
        <v>0</v>
      </c>
    </row>
    <row r="75" spans="2:36" s="29" customFormat="1" ht="16">
      <c r="B75" s="36" t="s">
        <v>262</v>
      </c>
      <c r="C75" s="36"/>
      <c r="D75" s="36"/>
      <c r="E75" s="334"/>
      <c r="F75" s="38"/>
      <c r="G75" s="41">
        <f>IF(AND(Inputs!$Q$24="Cost-Based",Inputs!$Q$25="Cash Grant",G$2=1),Inputs!$Q$28,IF(Inputs!$G$81="as generated",'Cash Flow'!G$182,-G$189))</f>
        <v>4889175</v>
      </c>
      <c r="H75" s="41">
        <f>IF(AND(Inputs!$Q$24="Cost-Based",Inputs!$Q$25="Cash Grant",H$2=1),Inputs!$Q$28,IF(Inputs!$G$81="as generated",'Cash Flow'!H$182,-H$189))</f>
        <v>0</v>
      </c>
      <c r="I75" s="41">
        <f>IF(AND(Inputs!$Q$24="Cost-Based",Inputs!$Q$25="Cash Grant",I$2=1),Inputs!$Q$28,IF(Inputs!$G$81="as generated",'Cash Flow'!I$182,-I$189))</f>
        <v>0</v>
      </c>
      <c r="J75" s="41">
        <f>IF(AND(Inputs!$Q$24="Cost-Based",Inputs!$Q$25="Cash Grant",J$2=1),Inputs!$Q$28,IF(Inputs!$G$81="as generated",'Cash Flow'!J$182,-J$189))</f>
        <v>0</v>
      </c>
      <c r="K75" s="41">
        <f>IF(AND(Inputs!$Q$24="Cost-Based",Inputs!$Q$25="Cash Grant",K$2=1),Inputs!$Q$28,IF(Inputs!$G$81="as generated",'Cash Flow'!K$182,-K$189))</f>
        <v>0</v>
      </c>
      <c r="L75" s="41">
        <f>IF(AND(Inputs!$Q$24="Cost-Based",Inputs!$Q$25="Cash Grant",L$2=1),Inputs!$Q$28,IF(Inputs!$G$81="as generated",'Cash Flow'!L$182,-L$189))</f>
        <v>0</v>
      </c>
      <c r="M75" s="41">
        <f>IF(AND(Inputs!$Q$24="Cost-Based",Inputs!$Q$25="Cash Grant",M$2=1),Inputs!$Q$28,IF(Inputs!$G$81="as generated",'Cash Flow'!M$182,-M$189))</f>
        <v>0</v>
      </c>
      <c r="N75" s="41">
        <f>IF(AND(Inputs!$Q$24="Cost-Based",Inputs!$Q$25="Cash Grant",N$2=1),Inputs!$Q$28,IF(Inputs!$G$81="as generated",'Cash Flow'!N$182,-N$189))</f>
        <v>0</v>
      </c>
      <c r="O75" s="41">
        <f>IF(AND(Inputs!$Q$24="Cost-Based",Inputs!$Q$25="Cash Grant",O$2=1),Inputs!$Q$28,IF(Inputs!$G$81="as generated",'Cash Flow'!O$182,-O$189))</f>
        <v>0</v>
      </c>
      <c r="P75" s="41">
        <f>IF(AND(Inputs!$Q$24="Cost-Based",Inputs!$Q$25="Cash Grant",P$2=1),Inputs!$Q$28,IF(Inputs!$G$81="as generated",'Cash Flow'!P$182,-P$189))</f>
        <v>0</v>
      </c>
      <c r="Q75" s="41">
        <f>IF(AND(Inputs!$Q$24="Cost-Based",Inputs!$Q$25="Cash Grant",Q$2=1),Inputs!$Q$28,IF(Inputs!$G$81="as generated",'Cash Flow'!Q$182,-Q$189))</f>
        <v>0</v>
      </c>
      <c r="R75" s="41">
        <f>IF(AND(Inputs!$Q$24="Cost-Based",Inputs!$Q$25="Cash Grant",R$2=1),Inputs!$Q$28,IF(Inputs!$G$81="as generated",'Cash Flow'!R$182,-R$189))</f>
        <v>0</v>
      </c>
      <c r="S75" s="41">
        <f>IF(AND(Inputs!$Q$24="Cost-Based",Inputs!$Q$25="Cash Grant",S$2=1),Inputs!$Q$28,IF(Inputs!$G$81="as generated",'Cash Flow'!S$182,-S$189))</f>
        <v>0</v>
      </c>
      <c r="T75" s="41">
        <f>IF(AND(Inputs!$Q$24="Cost-Based",Inputs!$Q$25="Cash Grant",T$2=1),Inputs!$Q$28,IF(Inputs!$G$81="as generated",'Cash Flow'!T$182,-T$189))</f>
        <v>0</v>
      </c>
      <c r="U75" s="41">
        <f>IF(AND(Inputs!$Q$24="Cost-Based",Inputs!$Q$25="Cash Grant",U$2=1),Inputs!$Q$28,IF(Inputs!$G$81="as generated",'Cash Flow'!U$182,-U$189))</f>
        <v>0</v>
      </c>
      <c r="V75" s="41">
        <f>IF(AND(Inputs!$Q$24="Cost-Based",Inputs!$Q$25="Cash Grant",V$2=1),Inputs!$Q$28,IF(Inputs!$G$81="as generated",'Cash Flow'!V$182,-V$189))</f>
        <v>0</v>
      </c>
      <c r="W75" s="41">
        <f>IF(AND(Inputs!$Q$24="Cost-Based",Inputs!$Q$25="Cash Grant",W$2=1),Inputs!$Q$28,IF(Inputs!$G$81="as generated",'Cash Flow'!W$182,-W$189))</f>
        <v>0</v>
      </c>
      <c r="X75" s="41">
        <f>IF(AND(Inputs!$Q$24="Cost-Based",Inputs!$Q$25="Cash Grant",X$2=1),Inputs!$Q$28,IF(Inputs!$G$81="as generated",'Cash Flow'!X$182,-X$189))</f>
        <v>0</v>
      </c>
      <c r="Y75" s="41">
        <f>IF(AND(Inputs!$Q$24="Cost-Based",Inputs!$Q$25="Cash Grant",Y$2=1),Inputs!$Q$28,IF(Inputs!$G$81="as generated",'Cash Flow'!Y$182,-Y$189))</f>
        <v>0</v>
      </c>
      <c r="Z75" s="41">
        <f>IF(AND(Inputs!$Q$24="Cost-Based",Inputs!$Q$25="Cash Grant",Z$2=1),Inputs!$Q$28,IF(Inputs!$G$81="as generated",'Cash Flow'!Z$182,-Z$189))</f>
        <v>0</v>
      </c>
      <c r="AA75" s="41">
        <f>IF(AND(Inputs!$Q$24="Cost-Based",Inputs!$Q$25="Cash Grant",AA$2=1),Inputs!$Q$28,IF(Inputs!$G$81="as generated",'Cash Flow'!AA$182,-AA$189))</f>
        <v>0</v>
      </c>
      <c r="AB75" s="41">
        <f>IF(AND(Inputs!$Q$24="Cost-Based",Inputs!$Q$25="Cash Grant",AB$2=1),Inputs!$Q$28,IF(Inputs!$G$81="as generated",'Cash Flow'!AB$182,-AB$189))</f>
        <v>0</v>
      </c>
      <c r="AC75" s="41">
        <f>IF(AND(Inputs!$Q$24="Cost-Based",Inputs!$Q$25="Cash Grant",AC$2=1),Inputs!$Q$28,IF(Inputs!$G$81="as generated",'Cash Flow'!AC$182,-AC$189))</f>
        <v>0</v>
      </c>
      <c r="AD75" s="41">
        <f>IF(AND(Inputs!$Q$24="Cost-Based",Inputs!$Q$25="Cash Grant",AD$2=1),Inputs!$Q$28,IF(Inputs!$G$81="as generated",'Cash Flow'!AD$182,-AD$189))</f>
        <v>0</v>
      </c>
      <c r="AE75" s="41">
        <f>IF(AND(Inputs!$Q$24="Cost-Based",Inputs!$Q$25="Cash Grant",AE$2=1),Inputs!$Q$28,IF(Inputs!$G$81="as generated",'Cash Flow'!AE$182,-AE$189))</f>
        <v>0</v>
      </c>
      <c r="AF75" s="41">
        <f>IF(AND(Inputs!$Q$24="Cost-Based",Inputs!$Q$25="Cash Grant",AF$2=1),Inputs!$Q$28,IF(Inputs!$G$81="as generated",'Cash Flow'!AF$182,-AF$189))</f>
        <v>0</v>
      </c>
      <c r="AG75" s="41">
        <f>IF(AND(Inputs!$Q$24="Cost-Based",Inputs!$Q$25="Cash Grant",AG$2=1),Inputs!$Q$28,IF(Inputs!$G$81="as generated",'Cash Flow'!AG$182,-AG$189))</f>
        <v>0</v>
      </c>
      <c r="AH75" s="41">
        <f>IF(AND(Inputs!$Q$24="Cost-Based",Inputs!$Q$25="Cash Grant",AH$2=1),Inputs!$Q$28,IF(Inputs!$G$81="as generated",'Cash Flow'!AH$182,-AH$189))</f>
        <v>0</v>
      </c>
      <c r="AI75" s="41">
        <f>IF(AND(Inputs!$Q$24="Cost-Based",Inputs!$Q$25="Cash Grant",AI$2=1),Inputs!$Q$28,IF(Inputs!$G$81="as generated",'Cash Flow'!AI$182,-AI$189))</f>
        <v>0</v>
      </c>
      <c r="AJ75" s="41">
        <f>IF(AND(Inputs!$Q$24="Cost-Based",Inputs!$Q$25="Cash Grant",AJ$2=1),Inputs!$Q$28,IF(Inputs!$G$81="as generated",'Cash Flow'!AJ$182,-AJ$189))</f>
        <v>0</v>
      </c>
    </row>
    <row r="76" spans="2:36" s="29" customFormat="1" ht="16">
      <c r="B76" s="39" t="s">
        <v>140</v>
      </c>
      <c r="C76" s="39"/>
      <c r="D76" s="39"/>
      <c r="E76" s="335"/>
      <c r="F76" s="40"/>
      <c r="G76" s="42">
        <f>IF(Inputs!$G$83="as generated",'Cash Flow'!G$196,-G$203)</f>
        <v>0</v>
      </c>
      <c r="H76" s="42">
        <f>IF(Inputs!$G$83="as generated",'Cash Flow'!H$196,-H$203)</f>
        <v>0</v>
      </c>
      <c r="I76" s="42">
        <f>IF(Inputs!$G$83="as generated",'Cash Flow'!I$196,-I$203)</f>
        <v>0</v>
      </c>
      <c r="J76" s="42">
        <f>IF(Inputs!$G$83="as generated",'Cash Flow'!J$196,-J$203)</f>
        <v>0</v>
      </c>
      <c r="K76" s="42">
        <f>IF(Inputs!$G$83="as generated",'Cash Flow'!K$196,-K$203)</f>
        <v>0</v>
      </c>
      <c r="L76" s="42">
        <f>IF(Inputs!$G$83="as generated",'Cash Flow'!L$196,-L$203)</f>
        <v>0</v>
      </c>
      <c r="M76" s="42">
        <f>IF(Inputs!$G$83="as generated",'Cash Flow'!M$196,-M$203)</f>
        <v>0</v>
      </c>
      <c r="N76" s="42">
        <f>IF(Inputs!$G$83="as generated",'Cash Flow'!N$196,-N$203)</f>
        <v>0</v>
      </c>
      <c r="O76" s="42">
        <f>IF(Inputs!$G$83="as generated",'Cash Flow'!O$196,-O$203)</f>
        <v>0</v>
      </c>
      <c r="P76" s="42">
        <f>IF(Inputs!$G$83="as generated",'Cash Flow'!P$196,-P$203)</f>
        <v>0</v>
      </c>
      <c r="Q76" s="42">
        <f>IF(Inputs!$G$83="as generated",'Cash Flow'!Q$196,-Q$203)</f>
        <v>0</v>
      </c>
      <c r="R76" s="42">
        <f>IF(Inputs!$G$83="as generated",'Cash Flow'!R$196,-R$203)</f>
        <v>0</v>
      </c>
      <c r="S76" s="42">
        <f>IF(Inputs!$G$83="as generated",'Cash Flow'!S$196,-S$203)</f>
        <v>0</v>
      </c>
      <c r="T76" s="42">
        <f>IF(Inputs!$G$83="as generated",'Cash Flow'!T$196,-T$203)</f>
        <v>0</v>
      </c>
      <c r="U76" s="42">
        <f>IF(Inputs!$G$83="as generated",'Cash Flow'!U$196,-U$203)</f>
        <v>0</v>
      </c>
      <c r="V76" s="42">
        <f>IF(Inputs!$G$83="as generated",'Cash Flow'!V$196,-V$203)</f>
        <v>0</v>
      </c>
      <c r="W76" s="42">
        <f>IF(Inputs!$G$83="as generated",'Cash Flow'!W$196,-W$203)</f>
        <v>0</v>
      </c>
      <c r="X76" s="42">
        <f>IF(Inputs!$G$83="as generated",'Cash Flow'!X$196,-X$203)</f>
        <v>0</v>
      </c>
      <c r="Y76" s="42">
        <f>IF(Inputs!$G$83="as generated",'Cash Flow'!Y$196,-Y$203)</f>
        <v>0</v>
      </c>
      <c r="Z76" s="42">
        <f>IF(Inputs!$G$83="as generated",'Cash Flow'!Z$196,-Z$203)</f>
        <v>0</v>
      </c>
      <c r="AA76" s="42">
        <f>IF(Inputs!$G$83="as generated",'Cash Flow'!AA$196,-AA$203)</f>
        <v>0</v>
      </c>
      <c r="AB76" s="42">
        <f>IF(Inputs!$G$83="as generated",'Cash Flow'!AB$196,-AB$203)</f>
        <v>0</v>
      </c>
      <c r="AC76" s="42">
        <f>IF(Inputs!$G$83="as generated",'Cash Flow'!AC$196,-AC$203)</f>
        <v>0</v>
      </c>
      <c r="AD76" s="42">
        <f>IF(Inputs!$G$83="as generated",'Cash Flow'!AD$196,-AD$203)</f>
        <v>0</v>
      </c>
      <c r="AE76" s="42">
        <f>IF(Inputs!$G$83="as generated",'Cash Flow'!AE$196,-AE$203)</f>
        <v>0</v>
      </c>
      <c r="AF76" s="42">
        <f>IF(Inputs!$G$83="as generated",'Cash Flow'!AF$196,-AF$203)</f>
        <v>0</v>
      </c>
      <c r="AG76" s="42">
        <f>IF(Inputs!$G$83="as generated",'Cash Flow'!AG$196,-AG$203)</f>
        <v>0</v>
      </c>
      <c r="AH76" s="42">
        <f>IF(Inputs!$G$83="as generated",'Cash Flow'!AH$196,-AH$203)</f>
        <v>0</v>
      </c>
      <c r="AI76" s="42">
        <f>IF(Inputs!$G$83="as generated",'Cash Flow'!AI$196,-AI$203)</f>
        <v>0</v>
      </c>
      <c r="AJ76" s="42">
        <f>IF(Inputs!$G$83="as generated",'Cash Flow'!AJ$196,-AJ$203)</f>
        <v>0</v>
      </c>
    </row>
    <row r="77" spans="2:36" s="29" customFormat="1" ht="16">
      <c r="B77" s="34" t="s">
        <v>139</v>
      </c>
      <c r="C77" s="34"/>
      <c r="D77" s="34"/>
      <c r="E77" s="52"/>
      <c r="F77" s="44">
        <f t="shared" ref="F77:AJ77" si="22">F64+SUM(F73:F76)</f>
        <v>-10402500</v>
      </c>
      <c r="G77" s="44">
        <f>G64+SUM(G73:G76)</f>
        <v>6347275.3323281333</v>
      </c>
      <c r="H77" s="44">
        <f t="shared" si="22"/>
        <v>2106793.3281790721</v>
      </c>
      <c r="I77" s="44">
        <f t="shared" si="22"/>
        <v>1338005.4326405218</v>
      </c>
      <c r="J77" s="44">
        <f t="shared" si="22"/>
        <v>858064.451014978</v>
      </c>
      <c r="K77" s="44">
        <f t="shared" si="22"/>
        <v>868166.0484182965</v>
      </c>
      <c r="L77" s="44">
        <f t="shared" si="22"/>
        <v>495875.65960252157</v>
      </c>
      <c r="M77" s="44">
        <f t="shared" si="22"/>
        <v>122017.30623052432</v>
      </c>
      <c r="N77" s="44">
        <f t="shared" si="22"/>
        <v>73233.792811697465</v>
      </c>
      <c r="O77" s="44">
        <f t="shared" si="22"/>
        <v>22518.360733085021</v>
      </c>
      <c r="P77" s="44">
        <f t="shared" si="22"/>
        <v>30598.253038999508</v>
      </c>
      <c r="Q77" s="44">
        <f t="shared" si="22"/>
        <v>-22180.860565052135</v>
      </c>
      <c r="R77" s="44">
        <f t="shared" si="22"/>
        <v>-77356.308402215829</v>
      </c>
      <c r="S77" s="44">
        <f t="shared" si="22"/>
        <v>-135017.13646373368</v>
      </c>
      <c r="T77" s="44">
        <f t="shared" si="22"/>
        <v>1047479.9804540814</v>
      </c>
      <c r="U77" s="44">
        <f t="shared" si="22"/>
        <v>657589.62294816831</v>
      </c>
      <c r="V77" s="44">
        <f t="shared" si="22"/>
        <v>616776.12574777566</v>
      </c>
      <c r="W77" s="44">
        <f t="shared" si="22"/>
        <v>574749.52308532572</v>
      </c>
      <c r="X77" s="44">
        <f t="shared" si="22"/>
        <v>534125.71994132583</v>
      </c>
      <c r="Y77" s="44">
        <f t="shared" si="22"/>
        <v>492191.58244257816</v>
      </c>
      <c r="Z77" s="44">
        <f t="shared" si="22"/>
        <v>1580467.8160164244</v>
      </c>
      <c r="AA77" s="44">
        <f t="shared" si="22"/>
        <v>0</v>
      </c>
      <c r="AB77" s="44">
        <f t="shared" si="22"/>
        <v>0</v>
      </c>
      <c r="AC77" s="44">
        <f t="shared" si="22"/>
        <v>0</v>
      </c>
      <c r="AD77" s="44">
        <f t="shared" si="22"/>
        <v>0</v>
      </c>
      <c r="AE77" s="44">
        <f t="shared" si="22"/>
        <v>0</v>
      </c>
      <c r="AF77" s="44">
        <f t="shared" si="22"/>
        <v>0</v>
      </c>
      <c r="AG77" s="44">
        <f t="shared" si="22"/>
        <v>0</v>
      </c>
      <c r="AH77" s="44">
        <f t="shared" si="22"/>
        <v>0</v>
      </c>
      <c r="AI77" s="44">
        <f t="shared" si="22"/>
        <v>0</v>
      </c>
      <c r="AJ77" s="44">
        <f t="shared" si="22"/>
        <v>0</v>
      </c>
    </row>
    <row r="78" spans="2:36" s="29" customFormat="1" ht="17">
      <c r="B78" s="54" t="s">
        <v>138</v>
      </c>
      <c r="C78" s="54"/>
      <c r="D78" s="54"/>
      <c r="E78" s="52"/>
      <c r="F78" s="44"/>
      <c r="G78" s="380">
        <f>IF(ISERROR(IRR($F77:G77)),"NA",IRR($F77:G77))</f>
        <v>-0.3898317392618954</v>
      </c>
      <c r="H78" s="380">
        <f>IF(ISERROR(IRR($F77:H77)),"NA",IRR($F77:H77))</f>
        <v>-0.15122117254424394</v>
      </c>
      <c r="I78" s="380">
        <f>IF(ISERROR(IRR($F77:I77)),"NA",IRR($F77:I77))</f>
        <v>-3.9536563449717677E-2</v>
      </c>
      <c r="J78" s="380">
        <f>IF(ISERROR(IRR($F77:J77)),"NA",IRR($F77:J77))</f>
        <v>1.4067104990236112E-2</v>
      </c>
      <c r="K78" s="380">
        <f>IF(ISERROR(IRR($F77:K77)),"NA",IRR($F77:K77))</f>
        <v>5.516937802484323E-2</v>
      </c>
      <c r="L78" s="380">
        <f>IF(ISERROR(IRR($F77:L77)),"NA",IRR($F77:L77))</f>
        <v>7.3448675354219617E-2</v>
      </c>
      <c r="M78" s="380">
        <f>IF(ISERROR(IRR($F77:M77)),"NA",IRR($F77:M77))</f>
        <v>7.7290328450246415E-2</v>
      </c>
      <c r="N78" s="380">
        <f>IF(ISERROR(IRR($F77:N77)),"NA",IRR($F77:N77))</f>
        <v>7.9368820489280623E-2</v>
      </c>
      <c r="O78" s="380">
        <f>IF(ISERROR(IRR($F77:O77)),"NA",IRR($F77:O77))</f>
        <v>7.9951996687817273E-2</v>
      </c>
      <c r="P78" s="380">
        <f>IF(ISERROR(IRR($F77:P77)),"NA",IRR($F77:P77))</f>
        <v>8.0679124498113763E-2</v>
      </c>
      <c r="Q78" s="380">
        <f>IF(ISERROR(IRR($F77:Q77)),"NA",IRR($F77:Q77))</f>
        <v>8.0192013076623381E-2</v>
      </c>
      <c r="R78" s="380">
        <f>IF(ISERROR(IRR($F77:R77)),"NA",IRR($F77:R77))</f>
        <v>7.858953070974084E-2</v>
      </c>
      <c r="S78" s="380">
        <f>IF(ISERROR(IRR($F77:S77)),"NA",IRR($F77:S77))</f>
        <v>7.5883795890590688E-2</v>
      </c>
      <c r="T78" s="380">
        <f>IF(ISERROR(IRR($F77:T77)),"NA",IRR($F77:T77))</f>
        <v>9.2529425809598109E-2</v>
      </c>
      <c r="U78" s="380">
        <f>IF(ISERROR(IRR($F77:U77)),"NA",IRR($F77:U77))</f>
        <v>9.9958835914971678E-2</v>
      </c>
      <c r="V78" s="380">
        <f>IF(ISERROR(IRR($F77:V77)),"NA",IRR($F77:V77))</f>
        <v>0.10545160986673552</v>
      </c>
      <c r="W78" s="380">
        <f>IF(ISERROR(IRR($F77:W77)),"NA",IRR($F77:W77))</f>
        <v>0.10959256279756691</v>
      </c>
      <c r="X78" s="380">
        <f>IF(ISERROR(IRR($F77:X77)),"NA",IRR($F77:X77))</f>
        <v>0.11276451730506665</v>
      </c>
      <c r="Y78" s="380">
        <f>IF(ISERROR(IRR($F77:Y77)),"NA",IRR($F77:Y77))</f>
        <v>0.11520813241858097</v>
      </c>
      <c r="Z78" s="380">
        <f>IF(ISERROR(IRR($F77:Z77)),"NA",IRR($F77:Z77))</f>
        <v>0.12144848034410982</v>
      </c>
      <c r="AA78" s="380">
        <f>IF(ISERROR(IRR($F77:AA77)),"NA",IRR($F77:AA77))</f>
        <v>0.12144848034410982</v>
      </c>
      <c r="AB78" s="380">
        <f>IF(ISERROR(IRR($F77:AB77)),"NA",IRR($F77:AB77))</f>
        <v>0.12144848034410982</v>
      </c>
      <c r="AC78" s="380">
        <f>IF(ISERROR(IRR($F77:AC77)),"NA",IRR($F77:AC77))</f>
        <v>0.12144848034410982</v>
      </c>
      <c r="AD78" s="380">
        <f>IF(ISERROR(IRR($F77:AD77)),"NA",IRR($F77:AD77))</f>
        <v>0.12144848034410982</v>
      </c>
      <c r="AE78" s="380">
        <f>IF(ISERROR(IRR($F77:AE77)),"NA",IRR($F77:AE77))</f>
        <v>0.12144848034410982</v>
      </c>
      <c r="AF78" s="380">
        <f>IF(ISERROR(IRR($F77:AF77)),"NA",IRR($F77:AF77))</f>
        <v>0.12144848034410982</v>
      </c>
      <c r="AG78" s="380">
        <f>IF(ISERROR(IRR($F77:AG77)),"NA",IRR($F77:AG77))</f>
        <v>0.12144848034410982</v>
      </c>
      <c r="AH78" s="380">
        <f>IF(ISERROR(IRR($F77:AH77)),"NA",IRR($F77:AH77))</f>
        <v>0.12144848034410982</v>
      </c>
      <c r="AI78" s="380">
        <f>IF(ISERROR(IRR($F77:AI77)),"NA",IRR($F77:AI77))</f>
        <v>0.12144848034410982</v>
      </c>
      <c r="AJ78" s="380">
        <f>IF(ISERROR(IRR($F77:AJ77)),"NA",IRR($F77:AJ77))</f>
        <v>0.12144848034410982</v>
      </c>
    </row>
    <row r="79" spans="2:36" s="29" customFormat="1" ht="17" thickBot="1">
      <c r="B79" s="34"/>
      <c r="C79" s="34"/>
      <c r="D79" s="34"/>
      <c r="E79" s="56"/>
      <c r="F79" s="396"/>
      <c r="G79" s="396"/>
      <c r="H79" s="396"/>
      <c r="I79" s="396"/>
      <c r="J79" s="396"/>
      <c r="K79" s="396"/>
      <c r="L79" s="396"/>
      <c r="M79" s="396"/>
      <c r="N79" s="44"/>
      <c r="O79" s="44"/>
      <c r="P79" s="44"/>
      <c r="Q79" s="44"/>
      <c r="R79" s="44"/>
      <c r="S79" s="44"/>
      <c r="T79" s="44"/>
      <c r="U79" s="44"/>
      <c r="V79" s="44"/>
      <c r="W79" s="44"/>
      <c r="X79" s="44"/>
      <c r="Y79" s="44"/>
      <c r="Z79" s="44"/>
      <c r="AA79" s="44"/>
      <c r="AB79" s="44"/>
      <c r="AC79" s="44"/>
      <c r="AD79" s="44"/>
      <c r="AE79" s="44"/>
      <c r="AF79" s="44"/>
      <c r="AG79" s="44"/>
      <c r="AH79" s="44"/>
      <c r="AI79" s="44"/>
      <c r="AJ79" s="44"/>
    </row>
    <row r="80" spans="2:36" s="29" customFormat="1" ht="17" thickBot="1">
      <c r="B80" s="816" t="s">
        <v>350</v>
      </c>
      <c r="C80" s="817"/>
      <c r="D80" s="509">
        <f>IRR(F64:AJ64)</f>
        <v>3.3267662564944622E-2</v>
      </c>
      <c r="F80" s="44"/>
      <c r="G80" s="464" t="s">
        <v>177</v>
      </c>
      <c r="H80" s="473"/>
      <c r="I80" s="473"/>
      <c r="J80" s="474"/>
      <c r="K80" s="473"/>
      <c r="L80" s="44"/>
      <c r="O80" s="44"/>
      <c r="P80" s="44"/>
      <c r="Q80" s="44"/>
      <c r="R80" s="44"/>
      <c r="S80" s="44"/>
      <c r="T80" s="44"/>
      <c r="U80" s="44"/>
      <c r="V80" s="44"/>
      <c r="W80" s="44"/>
      <c r="X80" s="44"/>
      <c r="Y80" s="44"/>
      <c r="Z80" s="44"/>
      <c r="AA80" s="44"/>
      <c r="AB80" s="44"/>
      <c r="AC80" s="44"/>
      <c r="AD80" s="44"/>
      <c r="AE80" s="44"/>
      <c r="AF80" s="44"/>
      <c r="AG80" s="44"/>
      <c r="AH80" s="44"/>
      <c r="AI80" s="44"/>
      <c r="AJ80" s="44"/>
    </row>
    <row r="81" spans="2:36" s="29" customFormat="1" ht="18" thickBot="1">
      <c r="B81" s="511" t="s">
        <v>351</v>
      </c>
      <c r="C81" s="512"/>
      <c r="D81" s="509">
        <f>IRR(F77:AJ77)</f>
        <v>0.12144848034410982</v>
      </c>
      <c r="F81" s="44"/>
      <c r="G81" s="466" t="s">
        <v>266</v>
      </c>
      <c r="H81" s="475"/>
      <c r="I81" s="471"/>
      <c r="J81" s="472"/>
      <c r="K81" s="472"/>
      <c r="L81" s="44"/>
      <c r="O81" s="44"/>
      <c r="P81" s="44"/>
      <c r="Q81" s="44"/>
      <c r="R81" s="44"/>
      <c r="S81" s="44"/>
      <c r="T81" s="44"/>
      <c r="U81" s="44"/>
      <c r="V81" s="44"/>
      <c r="W81" s="44"/>
      <c r="X81" s="44"/>
      <c r="Y81" s="44"/>
      <c r="Z81" s="44"/>
      <c r="AA81" s="44"/>
      <c r="AB81" s="44"/>
      <c r="AC81" s="44"/>
      <c r="AD81" s="44"/>
      <c r="AE81" s="44"/>
      <c r="AF81" s="44"/>
      <c r="AG81" s="44"/>
      <c r="AH81" s="44"/>
      <c r="AI81" s="44"/>
      <c r="AJ81" s="44"/>
    </row>
    <row r="82" spans="2:36" s="29" customFormat="1" ht="17" thickBot="1">
      <c r="B82" s="818">
        <f>Inputs!$G$68</f>
        <v>0.12</v>
      </c>
      <c r="C82" s="819"/>
      <c r="D82" s="510">
        <f>NPV(Inputs!$G$68,'Cash Flow'!F77:AJ77)</f>
        <v>36223.421390774507</v>
      </c>
      <c r="G82" s="465">
        <f>AVERAGE(R223:S223)</f>
        <v>12.849999999999998</v>
      </c>
      <c r="H82" s="475"/>
      <c r="I82" s="471"/>
      <c r="J82" s="476"/>
      <c r="K82" s="471"/>
    </row>
    <row r="83" spans="2:36" s="29" customFormat="1" ht="17" thickBot="1">
      <c r="B83" s="57"/>
      <c r="C83" s="57"/>
      <c r="D83" s="57"/>
      <c r="E83" s="58"/>
      <c r="F83" s="350"/>
      <c r="G83" s="333"/>
      <c r="H83" s="35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c r="AF83" s="350"/>
      <c r="AG83" s="350"/>
      <c r="AH83" s="350"/>
      <c r="AI83" s="350"/>
      <c r="AJ83" s="350"/>
    </row>
    <row r="84" spans="2:36" s="29" customFormat="1" ht="16">
      <c r="B84" s="59"/>
      <c r="C84" s="59"/>
      <c r="D84" s="59"/>
      <c r="E84" s="60"/>
      <c r="F84" s="60"/>
      <c r="G84" s="61"/>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2:36" s="29" customFormat="1" ht="16">
      <c r="B85" s="62" t="s">
        <v>72</v>
      </c>
      <c r="C85" s="62"/>
      <c r="D85" s="62"/>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2:36" s="29" customFormat="1" ht="17" thickBot="1">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row>
    <row r="87" spans="2:36" s="29" customFormat="1" ht="16">
      <c r="B87" s="259"/>
      <c r="C87" s="259"/>
      <c r="D87" s="259"/>
      <c r="E87" s="259"/>
      <c r="F87" s="274"/>
      <c r="G87" s="284"/>
      <c r="H87" s="285"/>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row>
    <row r="88" spans="2:36" s="29" customFormat="1" ht="16">
      <c r="B88" s="258" t="s">
        <v>80</v>
      </c>
      <c r="C88" s="258"/>
      <c r="D88" s="258"/>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row>
    <row r="89" spans="2:36" s="29" customFormat="1" ht="16">
      <c r="B89" s="286" t="s">
        <v>82</v>
      </c>
      <c r="C89" s="286"/>
      <c r="D89" s="286"/>
      <c r="E89" s="287"/>
      <c r="F89" s="288"/>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row>
    <row r="90" spans="2:36" s="29" customFormat="1" ht="16">
      <c r="B90" s="287" t="s">
        <v>83</v>
      </c>
      <c r="C90" s="287"/>
      <c r="D90" s="287"/>
      <c r="E90" s="287"/>
      <c r="F90" s="288">
        <f>IF(Inputs!$G$22="Simple",Inputs!$G$30-Inputs!$G$75,IF(Inputs!$G$22="Intermediate",SUM(Inputs!G24:G27)-Inputs!G75,'Complex Inputs'!C26+'Complex Inputs'!C51+'Complex Inputs'!C76+'Complex Inputs'!C101))</f>
        <v>17337500</v>
      </c>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89"/>
      <c r="AI90" s="289"/>
      <c r="AJ90" s="289"/>
    </row>
    <row r="91" spans="2:36" s="29" customFormat="1" ht="16">
      <c r="B91" s="287" t="s">
        <v>84</v>
      </c>
      <c r="C91" s="287"/>
      <c r="D91" s="287"/>
      <c r="E91" s="287"/>
      <c r="F91" s="290">
        <f>Inputs!$G$57</f>
        <v>0.4</v>
      </c>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289"/>
    </row>
    <row r="92" spans="2:36" s="29" customFormat="1" ht="16">
      <c r="B92" s="287" t="s">
        <v>81</v>
      </c>
      <c r="C92" s="287"/>
      <c r="D92" s="287"/>
      <c r="E92" s="287"/>
      <c r="F92" s="291">
        <f>F90*F91</f>
        <v>6935000</v>
      </c>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row>
    <row r="93" spans="2:36" s="29" customFormat="1" ht="16">
      <c r="B93" s="292"/>
      <c r="C93" s="292"/>
      <c r="D93" s="292"/>
      <c r="E93" s="292"/>
      <c r="F93" s="293"/>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row>
    <row r="94" spans="2:36" s="29" customFormat="1" ht="16">
      <c r="B94" s="286" t="s">
        <v>118</v>
      </c>
      <c r="C94" s="286"/>
      <c r="D94" s="286"/>
      <c r="E94" s="286"/>
      <c r="F94" s="293"/>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c r="AG94" s="289"/>
      <c r="AH94" s="289"/>
      <c r="AI94" s="289"/>
      <c r="AJ94" s="289"/>
    </row>
    <row r="95" spans="2:36" s="29" customFormat="1" ht="16">
      <c r="B95" s="294" t="s">
        <v>90</v>
      </c>
      <c r="C95" s="294"/>
      <c r="D95" s="294"/>
      <c r="E95" s="294"/>
      <c r="F95" s="295">
        <v>0</v>
      </c>
      <c r="G95" s="296">
        <f>SUM(G96:G97)</f>
        <v>-829778.63182494417</v>
      </c>
      <c r="H95" s="296">
        <f t="shared" ref="H95:AJ95" si="23">SUM(H96:H97)</f>
        <v>-829778.63182494428</v>
      </c>
      <c r="I95" s="296">
        <f t="shared" si="23"/>
        <v>-829778.63182494417</v>
      </c>
      <c r="J95" s="296">
        <f t="shared" si="23"/>
        <v>-829778.63182494417</v>
      </c>
      <c r="K95" s="296">
        <f t="shared" si="23"/>
        <v>-829778.63182494417</v>
      </c>
      <c r="L95" s="296">
        <f t="shared" si="23"/>
        <v>-829778.6318249444</v>
      </c>
      <c r="M95" s="296">
        <f t="shared" si="23"/>
        <v>-829778.63182494428</v>
      </c>
      <c r="N95" s="296">
        <f t="shared" si="23"/>
        <v>-829778.6318249444</v>
      </c>
      <c r="O95" s="296">
        <f t="shared" si="23"/>
        <v>-829778.63182494417</v>
      </c>
      <c r="P95" s="296">
        <f t="shared" si="23"/>
        <v>-829778.63182494428</v>
      </c>
      <c r="Q95" s="296">
        <f t="shared" si="23"/>
        <v>-829778.63182494428</v>
      </c>
      <c r="R95" s="296">
        <f t="shared" si="23"/>
        <v>-829778.63182494428</v>
      </c>
      <c r="S95" s="296">
        <f t="shared" si="23"/>
        <v>-829778.63182494417</v>
      </c>
      <c r="T95" s="296">
        <f t="shared" si="23"/>
        <v>0</v>
      </c>
      <c r="U95" s="296">
        <f t="shared" si="23"/>
        <v>0</v>
      </c>
      <c r="V95" s="296">
        <f t="shared" si="23"/>
        <v>0</v>
      </c>
      <c r="W95" s="296">
        <f t="shared" si="23"/>
        <v>0</v>
      </c>
      <c r="X95" s="296">
        <f t="shared" si="23"/>
        <v>0</v>
      </c>
      <c r="Y95" s="296">
        <f t="shared" si="23"/>
        <v>0</v>
      </c>
      <c r="Z95" s="296">
        <f t="shared" si="23"/>
        <v>0</v>
      </c>
      <c r="AA95" s="296">
        <f t="shared" si="23"/>
        <v>0</v>
      </c>
      <c r="AB95" s="296">
        <f t="shared" si="23"/>
        <v>0</v>
      </c>
      <c r="AC95" s="296">
        <f t="shared" si="23"/>
        <v>0</v>
      </c>
      <c r="AD95" s="296">
        <f t="shared" si="23"/>
        <v>0</v>
      </c>
      <c r="AE95" s="296">
        <f t="shared" si="23"/>
        <v>0</v>
      </c>
      <c r="AF95" s="296">
        <f t="shared" si="23"/>
        <v>0</v>
      </c>
      <c r="AG95" s="296">
        <f t="shared" si="23"/>
        <v>0</v>
      </c>
      <c r="AH95" s="296">
        <f t="shared" si="23"/>
        <v>0</v>
      </c>
      <c r="AI95" s="296">
        <f t="shared" si="23"/>
        <v>0</v>
      </c>
      <c r="AJ95" s="296">
        <f t="shared" si="23"/>
        <v>0</v>
      </c>
    </row>
    <row r="96" spans="2:36" s="38" customFormat="1" ht="16">
      <c r="B96" s="297" t="s">
        <v>88</v>
      </c>
      <c r="C96" s="297"/>
      <c r="D96" s="297"/>
      <c r="E96" s="297"/>
      <c r="F96" s="295">
        <v>0</v>
      </c>
      <c r="G96" s="296">
        <f>IF(G$2&gt;Inputs!$G$58,0,IPMT(Inputs!$G$59,G$2,Inputs!$G$58,$F$92))</f>
        <v>-485450.00000000006</v>
      </c>
      <c r="H96" s="296">
        <f>IF(H$2&gt;Inputs!$G$58,0,IPMT(Inputs!$G$59,H$2,Inputs!$G$58,$F$92))</f>
        <v>-461346.99577225407</v>
      </c>
      <c r="I96" s="296">
        <f>IF(I$2&gt;Inputs!$G$58,0,IPMT(Inputs!$G$59,I$2,Inputs!$G$58,$F$92))</f>
        <v>-435556.78124856565</v>
      </c>
      <c r="J96" s="296">
        <f>IF(J$2&gt;Inputs!$G$58,0,IPMT(Inputs!$G$59,J$2,Inputs!$G$58,$F$92))</f>
        <v>-407961.25170821918</v>
      </c>
      <c r="K96" s="296">
        <f>IF(K$2&gt;Inputs!$G$58,0,IPMT(Inputs!$G$59,K$2,Inputs!$G$58,$F$92))</f>
        <v>-378434.03510004841</v>
      </c>
      <c r="L96" s="296">
        <f>IF(L$2&gt;Inputs!$G$58,0,IPMT(Inputs!$G$59,L$2,Inputs!$G$58,$F$92))</f>
        <v>-346839.91332930577</v>
      </c>
      <c r="M96" s="296">
        <f>IF(M$2&gt;Inputs!$G$58,0,IPMT(Inputs!$G$59,M$2,Inputs!$G$58,$F$92))</f>
        <v>-313034.20303461101</v>
      </c>
      <c r="N96" s="296">
        <f>IF(N$2&gt;Inputs!$G$58,0,IPMT(Inputs!$G$59,N$2,Inputs!$G$58,$F$92))</f>
        <v>-276862.09301928774</v>
      </c>
      <c r="O96" s="296">
        <f>IF(O$2&gt;Inputs!$G$58,0,IPMT(Inputs!$G$59,O$2,Inputs!$G$58,$F$92))</f>
        <v>-238157.93530289171</v>
      </c>
      <c r="P96" s="296">
        <f>IF(P$2&gt;Inputs!$G$58,0,IPMT(Inputs!$G$59,P$2,Inputs!$G$58,$F$92))</f>
        <v>-196744.48654634805</v>
      </c>
      <c r="Q96" s="296">
        <f>IF(Q$2&gt;Inputs!$G$58,0,IPMT(Inputs!$G$59,Q$2,Inputs!$G$58,$F$92))</f>
        <v>-152432.09637684631</v>
      </c>
      <c r="R96" s="296">
        <f>IF(R$2&gt;Inputs!$G$58,0,IPMT(Inputs!$G$59,R$2,Inputs!$G$58,$F$92))</f>
        <v>-105017.83889547945</v>
      </c>
      <c r="S96" s="296">
        <f>IF(S$2&gt;Inputs!$G$58,0,IPMT(Inputs!$G$59,S$2,Inputs!$G$58,$F$92))</f>
        <v>-54284.583390416919</v>
      </c>
      <c r="T96" s="296">
        <f>IF(T$2&gt;Inputs!$G$58,0,IPMT(Inputs!$G$59,T$2,Inputs!$G$58,$F$92))</f>
        <v>0</v>
      </c>
      <c r="U96" s="296">
        <f>IF(U$2&gt;Inputs!$G$58,0,IPMT(Inputs!$G$59,U$2,Inputs!$G$58,$F$92))</f>
        <v>0</v>
      </c>
      <c r="V96" s="296">
        <f>IF(V$2&gt;Inputs!$G$58,0,IPMT(Inputs!$G$59,V$2,Inputs!$G$58,$F$92))</f>
        <v>0</v>
      </c>
      <c r="W96" s="296">
        <f>IF(W$2&gt;Inputs!$G$58,0,IPMT(Inputs!$G$59,W$2,Inputs!$G$58,$F$92))</f>
        <v>0</v>
      </c>
      <c r="X96" s="296">
        <f>IF(X$2&gt;Inputs!$G$58,0,IPMT(Inputs!$G$59,X$2,Inputs!$G$58,$F$92))</f>
        <v>0</v>
      </c>
      <c r="Y96" s="296">
        <f>IF(Y$2&gt;Inputs!$G$58,0,IPMT(Inputs!$G$59,Y$2,Inputs!$G$58,$F$92))</f>
        <v>0</v>
      </c>
      <c r="Z96" s="296">
        <f>IF(Z$2&gt;Inputs!$G$58,0,IPMT(Inputs!$G$59,Z$2,Inputs!$G$58,$F$92))</f>
        <v>0</v>
      </c>
      <c r="AA96" s="296">
        <f>IF(AA$2&gt;Inputs!$G$58,0,IPMT(Inputs!$G$59,AA$2,Inputs!$G$58,$F$92))</f>
        <v>0</v>
      </c>
      <c r="AB96" s="296">
        <f>IF(AB$2&gt;Inputs!$G$58,0,IPMT(Inputs!$G$59,AB$2,Inputs!$G$58,$F$92))</f>
        <v>0</v>
      </c>
      <c r="AC96" s="296">
        <f>IF(AC$2&gt;Inputs!$G$58,0,IPMT(Inputs!$G$59,AC$2,Inputs!$G$58,$F$92))</f>
        <v>0</v>
      </c>
      <c r="AD96" s="296">
        <f>IF(AD$2&gt;Inputs!$G$58,0,IPMT(Inputs!$G$59,AD$2,Inputs!$G$58,$F$92))</f>
        <v>0</v>
      </c>
      <c r="AE96" s="296">
        <f>IF(AE$2&gt;Inputs!$G$58,0,IPMT(Inputs!$G$59,AE$2,Inputs!$G$58,$F$92))</f>
        <v>0</v>
      </c>
      <c r="AF96" s="296">
        <f>IF(AF$2&gt;Inputs!$G$58,0,IPMT(Inputs!$G$59,AF$2,Inputs!$G$58,$F$92))</f>
        <v>0</v>
      </c>
      <c r="AG96" s="296">
        <f>IF(AG$2&gt;Inputs!$G$58,0,IPMT(Inputs!$G$59,AG$2,Inputs!$G$58,$F$92))</f>
        <v>0</v>
      </c>
      <c r="AH96" s="296">
        <f>IF(AH$2&gt;Inputs!$G$58,0,IPMT(Inputs!$G$59,AH$2,Inputs!$G$58,$F$92))</f>
        <v>0</v>
      </c>
      <c r="AI96" s="296">
        <f>IF(AI$2&gt;Inputs!$G$58,0,IPMT(Inputs!$G$59,AI$2,Inputs!$G$58,$F$92))</f>
        <v>0</v>
      </c>
      <c r="AJ96" s="296">
        <f>IF(AJ$2&gt;Inputs!$G$58,0,IPMT(Inputs!$G$59,AJ$2,Inputs!$G$58,$F$92))</f>
        <v>0</v>
      </c>
    </row>
    <row r="97" spans="2:36" s="29" customFormat="1" ht="16">
      <c r="B97" s="294" t="s">
        <v>89</v>
      </c>
      <c r="C97" s="294"/>
      <c r="D97" s="294"/>
      <c r="E97" s="294"/>
      <c r="F97" s="298">
        <f>MIN(MAX(0,F95-F96),F$100)</f>
        <v>0</v>
      </c>
      <c r="G97" s="296">
        <f>IF(G$2&gt;Inputs!$G$58,0,PPMT(Inputs!$G$59,G$2,Inputs!$G$58,$F$92))</f>
        <v>-344328.63182494411</v>
      </c>
      <c r="H97" s="296">
        <f>IF(H$2&gt;Inputs!$G$58,0,PPMT(Inputs!$G$59,H$2,Inputs!$G$58,$F$92))</f>
        <v>-368431.63605269021</v>
      </c>
      <c r="I97" s="296">
        <f>IF(I$2&gt;Inputs!$G$58,0,PPMT(Inputs!$G$59,I$2,Inputs!$G$58,$F$92))</f>
        <v>-394221.85057637852</v>
      </c>
      <c r="J97" s="296">
        <f>IF(J$2&gt;Inputs!$G$58,0,PPMT(Inputs!$G$59,J$2,Inputs!$G$58,$F$92))</f>
        <v>-421817.38011672505</v>
      </c>
      <c r="K97" s="296">
        <f>IF(K$2&gt;Inputs!$G$58,0,PPMT(Inputs!$G$59,K$2,Inputs!$G$58,$F$92))</f>
        <v>-451344.59672489582</v>
      </c>
      <c r="L97" s="296">
        <f>IF(L$2&gt;Inputs!$G$58,0,PPMT(Inputs!$G$59,L$2,Inputs!$G$58,$F$92))</f>
        <v>-482938.71849563858</v>
      </c>
      <c r="M97" s="296">
        <f>IF(M$2&gt;Inputs!$G$58,0,PPMT(Inputs!$G$59,M$2,Inputs!$G$58,$F$92))</f>
        <v>-516744.42879033327</v>
      </c>
      <c r="N97" s="296">
        <f>IF(N$2&gt;Inputs!$G$58,0,PPMT(Inputs!$G$59,N$2,Inputs!$G$58,$F$92))</f>
        <v>-552916.5388056566</v>
      </c>
      <c r="O97" s="296">
        <f>IF(O$2&gt;Inputs!$G$58,0,PPMT(Inputs!$G$59,O$2,Inputs!$G$58,$F$92))</f>
        <v>-591620.6965220524</v>
      </c>
      <c r="P97" s="296">
        <f>IF(P$2&gt;Inputs!$G$58,0,PPMT(Inputs!$G$59,P$2,Inputs!$G$58,$F$92))</f>
        <v>-633034.1452785962</v>
      </c>
      <c r="Q97" s="296">
        <f>IF(Q$2&gt;Inputs!$G$58,0,PPMT(Inputs!$G$59,Q$2,Inputs!$G$58,$F$92))</f>
        <v>-677346.53544809797</v>
      </c>
      <c r="R97" s="296">
        <f>IF(R$2&gt;Inputs!$G$58,0,PPMT(Inputs!$G$59,R$2,Inputs!$G$58,$F$92))</f>
        <v>-724760.79292946483</v>
      </c>
      <c r="S97" s="296">
        <f>IF(S$2&gt;Inputs!$G$58,0,PPMT(Inputs!$G$59,S$2,Inputs!$G$58,$F$92))</f>
        <v>-775494.04843452724</v>
      </c>
      <c r="T97" s="296">
        <f>IF(T$2&gt;Inputs!$G$58,0,PPMT(Inputs!$G$59,T$2,Inputs!$G$58,$F$92))</f>
        <v>0</v>
      </c>
      <c r="U97" s="296">
        <f>IF(U$2&gt;Inputs!$G$58,0,PPMT(Inputs!$G$59,U$2,Inputs!$G$58,$F$92))</f>
        <v>0</v>
      </c>
      <c r="V97" s="296">
        <f>IF(V$2&gt;Inputs!$G$58,0,PPMT(Inputs!$G$59,V$2,Inputs!$G$58,$F$92))</f>
        <v>0</v>
      </c>
      <c r="W97" s="296">
        <f>IF(W$2&gt;Inputs!$G$58,0,PPMT(Inputs!$G$59,W$2,Inputs!$G$58,$F$92))</f>
        <v>0</v>
      </c>
      <c r="X97" s="296">
        <f>IF(X$2&gt;Inputs!$G$58,0,PPMT(Inputs!$G$59,X$2,Inputs!$G$58,$F$92))</f>
        <v>0</v>
      </c>
      <c r="Y97" s="296">
        <f>IF(Y$2&gt;Inputs!$G$58,0,PPMT(Inputs!$G$59,Y$2,Inputs!$G$58,$F$92))</f>
        <v>0</v>
      </c>
      <c r="Z97" s="296">
        <f>IF(Z$2&gt;Inputs!$G$58,0,PPMT(Inputs!$G$59,Z$2,Inputs!$G$58,$F$92))</f>
        <v>0</v>
      </c>
      <c r="AA97" s="296">
        <f>IF(AA$2&gt;Inputs!$G$58,0,PPMT(Inputs!$G$59,AA$2,Inputs!$G$58,$F$92))</f>
        <v>0</v>
      </c>
      <c r="AB97" s="296">
        <f>IF(AB$2&gt;Inputs!$G$58,0,PPMT(Inputs!$G$59,AB$2,Inputs!$G$58,$F$92))</f>
        <v>0</v>
      </c>
      <c r="AC97" s="296">
        <f>IF(AC$2&gt;Inputs!$G$58,0,PPMT(Inputs!$G$59,AC$2,Inputs!$G$58,$F$92))</f>
        <v>0</v>
      </c>
      <c r="AD97" s="296">
        <f>IF(AD$2&gt;Inputs!$G$58,0,PPMT(Inputs!$G$59,AD$2,Inputs!$G$58,$F$92))</f>
        <v>0</v>
      </c>
      <c r="AE97" s="296">
        <f>IF(AE$2&gt;Inputs!$G$58,0,PPMT(Inputs!$G$59,AE$2,Inputs!$G$58,$F$92))</f>
        <v>0</v>
      </c>
      <c r="AF97" s="296">
        <f>IF(AF$2&gt;Inputs!$G$58,0,PPMT(Inputs!$G$59,AF$2,Inputs!$G$58,$F$92))</f>
        <v>0</v>
      </c>
      <c r="AG97" s="296">
        <f>IF(AG$2&gt;Inputs!$G$58,0,PPMT(Inputs!$G$59,AG$2,Inputs!$G$58,$F$92))</f>
        <v>0</v>
      </c>
      <c r="AH97" s="296">
        <f>IF(AH$2&gt;Inputs!$G$58,0,PPMT(Inputs!$G$59,AH$2,Inputs!$G$58,$F$92))</f>
        <v>0</v>
      </c>
      <c r="AI97" s="296">
        <f>IF(AI$2&gt;Inputs!$G$58,0,PPMT(Inputs!$G$59,AI$2,Inputs!$G$58,$F$92))</f>
        <v>0</v>
      </c>
      <c r="AJ97" s="296">
        <f>IF(AJ$2&gt;Inputs!$G$58,0,PPMT(Inputs!$G$59,AJ$2,Inputs!$G$58,$F$92))</f>
        <v>0</v>
      </c>
    </row>
    <row r="98" spans="2:36" s="29" customFormat="1" ht="16">
      <c r="B98" s="286"/>
      <c r="C98" s="286"/>
      <c r="D98" s="286"/>
      <c r="E98" s="286"/>
      <c r="F98" s="293"/>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row>
    <row r="99" spans="2:36" s="29" customFormat="1" ht="16">
      <c r="B99" s="286" t="s">
        <v>117</v>
      </c>
      <c r="C99" s="286"/>
      <c r="D99" s="286"/>
      <c r="E99" s="287"/>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row>
    <row r="100" spans="2:36" s="29" customFormat="1" ht="16">
      <c r="B100" s="294" t="s">
        <v>85</v>
      </c>
      <c r="C100" s="294"/>
      <c r="D100" s="294"/>
      <c r="E100" s="294"/>
      <c r="F100" s="300">
        <v>0</v>
      </c>
      <c r="G100" s="298">
        <f t="shared" ref="G100:AJ100" si="24">F103</f>
        <v>6935000</v>
      </c>
      <c r="H100" s="298">
        <f t="shared" si="24"/>
        <v>6590671.3681750558</v>
      </c>
      <c r="I100" s="298">
        <f t="shared" si="24"/>
        <v>6222239.7321223654</v>
      </c>
      <c r="J100" s="298">
        <f t="shared" si="24"/>
        <v>5828017.881545987</v>
      </c>
      <c r="K100" s="298">
        <f t="shared" si="24"/>
        <v>5406200.5014292616</v>
      </c>
      <c r="L100" s="298">
        <f t="shared" si="24"/>
        <v>4954855.9047043659</v>
      </c>
      <c r="M100" s="298">
        <f t="shared" si="24"/>
        <v>4471917.1862087268</v>
      </c>
      <c r="N100" s="298">
        <f t="shared" si="24"/>
        <v>3955172.7574183936</v>
      </c>
      <c r="O100" s="298">
        <f t="shared" si="24"/>
        <v>3402256.218612737</v>
      </c>
      <c r="P100" s="298">
        <f t="shared" si="24"/>
        <v>2810635.5220906846</v>
      </c>
      <c r="Q100" s="298">
        <f t="shared" si="24"/>
        <v>2177601.3768120883</v>
      </c>
      <c r="R100" s="298">
        <f t="shared" si="24"/>
        <v>1500254.8413639902</v>
      </c>
      <c r="S100" s="298">
        <f t="shared" si="24"/>
        <v>775494.04843452538</v>
      </c>
      <c r="T100" s="298">
        <f t="shared" si="24"/>
        <v>-1.862645149230957E-9</v>
      </c>
      <c r="U100" s="298">
        <f t="shared" si="24"/>
        <v>-1.862645149230957E-9</v>
      </c>
      <c r="V100" s="298">
        <f t="shared" si="24"/>
        <v>-1.862645149230957E-9</v>
      </c>
      <c r="W100" s="298">
        <f t="shared" si="24"/>
        <v>-1.862645149230957E-9</v>
      </c>
      <c r="X100" s="298">
        <f t="shared" si="24"/>
        <v>-1.862645149230957E-9</v>
      </c>
      <c r="Y100" s="298">
        <f t="shared" si="24"/>
        <v>-1.862645149230957E-9</v>
      </c>
      <c r="Z100" s="298">
        <f t="shared" si="24"/>
        <v>-1.862645149230957E-9</v>
      </c>
      <c r="AA100" s="298">
        <f t="shared" si="24"/>
        <v>-1.862645149230957E-9</v>
      </c>
      <c r="AB100" s="298">
        <f t="shared" si="24"/>
        <v>-1.862645149230957E-9</v>
      </c>
      <c r="AC100" s="298">
        <f t="shared" si="24"/>
        <v>-1.862645149230957E-9</v>
      </c>
      <c r="AD100" s="298">
        <f t="shared" si="24"/>
        <v>-1.862645149230957E-9</v>
      </c>
      <c r="AE100" s="298">
        <f t="shared" si="24"/>
        <v>-1.862645149230957E-9</v>
      </c>
      <c r="AF100" s="298">
        <f t="shared" si="24"/>
        <v>-1.862645149230957E-9</v>
      </c>
      <c r="AG100" s="298">
        <f t="shared" si="24"/>
        <v>-1.862645149230957E-9</v>
      </c>
      <c r="AH100" s="298">
        <f t="shared" si="24"/>
        <v>-1.862645149230957E-9</v>
      </c>
      <c r="AI100" s="298">
        <f t="shared" si="24"/>
        <v>-1.862645149230957E-9</v>
      </c>
      <c r="AJ100" s="298">
        <f t="shared" si="24"/>
        <v>-1.862645149230957E-9</v>
      </c>
    </row>
    <row r="101" spans="2:36" s="29" customFormat="1" ht="16">
      <c r="B101" s="294" t="s">
        <v>86</v>
      </c>
      <c r="C101" s="294"/>
      <c r="D101" s="294"/>
      <c r="E101" s="294"/>
      <c r="F101" s="298">
        <f>$F$92</f>
        <v>6935000</v>
      </c>
      <c r="G101" s="300">
        <v>0</v>
      </c>
      <c r="H101" s="300">
        <v>0</v>
      </c>
      <c r="I101" s="300">
        <v>0</v>
      </c>
      <c r="J101" s="300">
        <v>0</v>
      </c>
      <c r="K101" s="300">
        <v>0</v>
      </c>
      <c r="L101" s="300">
        <v>0</v>
      </c>
      <c r="M101" s="300">
        <v>0</v>
      </c>
      <c r="N101" s="300">
        <v>0</v>
      </c>
      <c r="O101" s="300">
        <v>0</v>
      </c>
      <c r="P101" s="300">
        <v>0</v>
      </c>
      <c r="Q101" s="300">
        <v>0</v>
      </c>
      <c r="R101" s="300">
        <v>0</v>
      </c>
      <c r="S101" s="300">
        <v>0</v>
      </c>
      <c r="T101" s="300">
        <v>0</v>
      </c>
      <c r="U101" s="300">
        <v>0</v>
      </c>
      <c r="V101" s="300">
        <v>0</v>
      </c>
      <c r="W101" s="300">
        <v>0</v>
      </c>
      <c r="X101" s="300">
        <v>0</v>
      </c>
      <c r="Y101" s="300">
        <v>0</v>
      </c>
      <c r="Z101" s="300">
        <v>0</v>
      </c>
      <c r="AA101" s="300">
        <v>0</v>
      </c>
      <c r="AB101" s="300">
        <v>0</v>
      </c>
      <c r="AC101" s="300">
        <v>0</v>
      </c>
      <c r="AD101" s="300">
        <v>0</v>
      </c>
      <c r="AE101" s="300">
        <v>0</v>
      </c>
      <c r="AF101" s="300">
        <v>0</v>
      </c>
      <c r="AG101" s="300">
        <v>0</v>
      </c>
      <c r="AH101" s="300">
        <v>0</v>
      </c>
      <c r="AI101" s="300">
        <v>0</v>
      </c>
      <c r="AJ101" s="300">
        <v>0</v>
      </c>
    </row>
    <row r="102" spans="2:36" s="29" customFormat="1" ht="16">
      <c r="B102" s="294" t="s">
        <v>116</v>
      </c>
      <c r="C102" s="294"/>
      <c r="D102" s="294"/>
      <c r="E102" s="294"/>
      <c r="F102" s="301">
        <v>0</v>
      </c>
      <c r="G102" s="302">
        <f t="shared" ref="G102:AJ102" si="25">G97</f>
        <v>-344328.63182494411</v>
      </c>
      <c r="H102" s="302">
        <f t="shared" si="25"/>
        <v>-368431.63605269021</v>
      </c>
      <c r="I102" s="302">
        <f t="shared" si="25"/>
        <v>-394221.85057637852</v>
      </c>
      <c r="J102" s="302">
        <f t="shared" si="25"/>
        <v>-421817.38011672505</v>
      </c>
      <c r="K102" s="302">
        <f t="shared" si="25"/>
        <v>-451344.59672489582</v>
      </c>
      <c r="L102" s="302">
        <f t="shared" si="25"/>
        <v>-482938.71849563858</v>
      </c>
      <c r="M102" s="302">
        <f t="shared" si="25"/>
        <v>-516744.42879033327</v>
      </c>
      <c r="N102" s="302">
        <f t="shared" si="25"/>
        <v>-552916.5388056566</v>
      </c>
      <c r="O102" s="302">
        <f t="shared" si="25"/>
        <v>-591620.6965220524</v>
      </c>
      <c r="P102" s="302">
        <f t="shared" si="25"/>
        <v>-633034.1452785962</v>
      </c>
      <c r="Q102" s="302">
        <f t="shared" si="25"/>
        <v>-677346.53544809797</v>
      </c>
      <c r="R102" s="302">
        <f t="shared" si="25"/>
        <v>-724760.79292946483</v>
      </c>
      <c r="S102" s="302">
        <f t="shared" si="25"/>
        <v>-775494.04843452724</v>
      </c>
      <c r="T102" s="302">
        <f t="shared" si="25"/>
        <v>0</v>
      </c>
      <c r="U102" s="302">
        <f t="shared" si="25"/>
        <v>0</v>
      </c>
      <c r="V102" s="302">
        <f t="shared" si="25"/>
        <v>0</v>
      </c>
      <c r="W102" s="302">
        <f t="shared" si="25"/>
        <v>0</v>
      </c>
      <c r="X102" s="302">
        <f t="shared" si="25"/>
        <v>0</v>
      </c>
      <c r="Y102" s="302">
        <f t="shared" si="25"/>
        <v>0</v>
      </c>
      <c r="Z102" s="302">
        <f t="shared" si="25"/>
        <v>0</v>
      </c>
      <c r="AA102" s="302">
        <f t="shared" si="25"/>
        <v>0</v>
      </c>
      <c r="AB102" s="302">
        <f t="shared" si="25"/>
        <v>0</v>
      </c>
      <c r="AC102" s="302">
        <f t="shared" si="25"/>
        <v>0</v>
      </c>
      <c r="AD102" s="302">
        <f t="shared" si="25"/>
        <v>0</v>
      </c>
      <c r="AE102" s="302">
        <f t="shared" si="25"/>
        <v>0</v>
      </c>
      <c r="AF102" s="302">
        <f t="shared" si="25"/>
        <v>0</v>
      </c>
      <c r="AG102" s="302">
        <f t="shared" si="25"/>
        <v>0</v>
      </c>
      <c r="AH102" s="302">
        <f t="shared" si="25"/>
        <v>0</v>
      </c>
      <c r="AI102" s="302">
        <f t="shared" si="25"/>
        <v>0</v>
      </c>
      <c r="AJ102" s="302">
        <f t="shared" si="25"/>
        <v>0</v>
      </c>
    </row>
    <row r="103" spans="2:36" s="29" customFormat="1" ht="16">
      <c r="B103" s="294" t="s">
        <v>87</v>
      </c>
      <c r="C103" s="294"/>
      <c r="D103" s="294"/>
      <c r="E103" s="294"/>
      <c r="F103" s="298">
        <f t="shared" ref="F103:AJ103" si="26">SUM(F100:F102)</f>
        <v>6935000</v>
      </c>
      <c r="G103" s="298">
        <f t="shared" si="26"/>
        <v>6590671.3681750558</v>
      </c>
      <c r="H103" s="298">
        <f t="shared" si="26"/>
        <v>6222239.7321223654</v>
      </c>
      <c r="I103" s="298">
        <f t="shared" si="26"/>
        <v>5828017.881545987</v>
      </c>
      <c r="J103" s="298">
        <f t="shared" si="26"/>
        <v>5406200.5014292616</v>
      </c>
      <c r="K103" s="298">
        <f t="shared" si="26"/>
        <v>4954855.9047043659</v>
      </c>
      <c r="L103" s="298">
        <f t="shared" si="26"/>
        <v>4471917.1862087268</v>
      </c>
      <c r="M103" s="298">
        <f t="shared" si="26"/>
        <v>3955172.7574183936</v>
      </c>
      <c r="N103" s="298">
        <f t="shared" si="26"/>
        <v>3402256.218612737</v>
      </c>
      <c r="O103" s="298">
        <f t="shared" si="26"/>
        <v>2810635.5220906846</v>
      </c>
      <c r="P103" s="298">
        <f t="shared" si="26"/>
        <v>2177601.3768120883</v>
      </c>
      <c r="Q103" s="298">
        <f t="shared" si="26"/>
        <v>1500254.8413639902</v>
      </c>
      <c r="R103" s="298">
        <f t="shared" si="26"/>
        <v>775494.04843452538</v>
      </c>
      <c r="S103" s="298">
        <f t="shared" si="26"/>
        <v>-1.862645149230957E-9</v>
      </c>
      <c r="T103" s="298">
        <f t="shared" si="26"/>
        <v>-1.862645149230957E-9</v>
      </c>
      <c r="U103" s="298">
        <f t="shared" si="26"/>
        <v>-1.862645149230957E-9</v>
      </c>
      <c r="V103" s="298">
        <f t="shared" si="26"/>
        <v>-1.862645149230957E-9</v>
      </c>
      <c r="W103" s="298">
        <f t="shared" si="26"/>
        <v>-1.862645149230957E-9</v>
      </c>
      <c r="X103" s="298">
        <f t="shared" si="26"/>
        <v>-1.862645149230957E-9</v>
      </c>
      <c r="Y103" s="298">
        <f t="shared" si="26"/>
        <v>-1.862645149230957E-9</v>
      </c>
      <c r="Z103" s="298">
        <f t="shared" si="26"/>
        <v>-1.862645149230957E-9</v>
      </c>
      <c r="AA103" s="298">
        <f t="shared" si="26"/>
        <v>-1.862645149230957E-9</v>
      </c>
      <c r="AB103" s="298">
        <f t="shared" si="26"/>
        <v>-1.862645149230957E-9</v>
      </c>
      <c r="AC103" s="298">
        <f t="shared" si="26"/>
        <v>-1.862645149230957E-9</v>
      </c>
      <c r="AD103" s="298">
        <f t="shared" si="26"/>
        <v>-1.862645149230957E-9</v>
      </c>
      <c r="AE103" s="298">
        <f t="shared" si="26"/>
        <v>-1.862645149230957E-9</v>
      </c>
      <c r="AF103" s="298">
        <f t="shared" si="26"/>
        <v>-1.862645149230957E-9</v>
      </c>
      <c r="AG103" s="298">
        <f t="shared" si="26"/>
        <v>-1.862645149230957E-9</v>
      </c>
      <c r="AH103" s="298">
        <f t="shared" si="26"/>
        <v>-1.862645149230957E-9</v>
      </c>
      <c r="AI103" s="298">
        <f t="shared" si="26"/>
        <v>-1.862645149230957E-9</v>
      </c>
      <c r="AJ103" s="298">
        <f t="shared" si="26"/>
        <v>-1.862645149230957E-9</v>
      </c>
    </row>
    <row r="104" spans="2:36" s="29" customFormat="1" ht="17" thickBot="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row>
    <row r="105" spans="2:36">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row>
    <row r="106" spans="2:36" s="29" customFormat="1" ht="16">
      <c r="B106" s="258" t="s">
        <v>147</v>
      </c>
      <c r="C106" s="815" t="s">
        <v>330</v>
      </c>
      <c r="D106" s="815"/>
      <c r="E106" s="815"/>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row>
    <row r="107" spans="2:36" s="29" customFormat="1" ht="16">
      <c r="B107" s="259" t="s">
        <v>122</v>
      </c>
      <c r="C107" s="260" t="s">
        <v>331</v>
      </c>
      <c r="D107" s="260" t="s">
        <v>332</v>
      </c>
      <c r="E107" s="260" t="s">
        <v>333</v>
      </c>
      <c r="F107" s="260">
        <v>0</v>
      </c>
      <c r="G107" s="260">
        <v>1</v>
      </c>
      <c r="H107" s="260">
        <v>2</v>
      </c>
      <c r="I107" s="260">
        <v>3</v>
      </c>
      <c r="J107" s="260">
        <v>4</v>
      </c>
      <c r="K107" s="260">
        <v>5</v>
      </c>
      <c r="L107" s="260">
        <v>6</v>
      </c>
      <c r="M107" s="260">
        <v>7</v>
      </c>
      <c r="N107" s="260">
        <v>8</v>
      </c>
      <c r="O107" s="260">
        <v>9</v>
      </c>
      <c r="P107" s="260">
        <v>10</v>
      </c>
      <c r="Q107" s="260">
        <v>11</v>
      </c>
      <c r="R107" s="260">
        <v>12</v>
      </c>
      <c r="S107" s="260">
        <v>13</v>
      </c>
      <c r="T107" s="260">
        <v>14</v>
      </c>
      <c r="U107" s="260">
        <v>15</v>
      </c>
      <c r="V107" s="260">
        <v>16</v>
      </c>
      <c r="W107" s="260">
        <v>17</v>
      </c>
      <c r="X107" s="260">
        <v>18</v>
      </c>
      <c r="Y107" s="260">
        <v>19</v>
      </c>
      <c r="Z107" s="260">
        <v>20</v>
      </c>
      <c r="AA107" s="260">
        <v>21</v>
      </c>
      <c r="AB107" s="260">
        <v>22</v>
      </c>
      <c r="AC107" s="260">
        <v>23</v>
      </c>
      <c r="AD107" s="260">
        <v>24</v>
      </c>
      <c r="AE107" s="260">
        <v>25</v>
      </c>
      <c r="AF107" s="260">
        <v>26</v>
      </c>
      <c r="AG107" s="260">
        <v>27</v>
      </c>
      <c r="AH107" s="260">
        <v>28</v>
      </c>
      <c r="AI107" s="260">
        <v>29</v>
      </c>
      <c r="AJ107" s="260">
        <v>30</v>
      </c>
    </row>
    <row r="108" spans="2:36" s="29" customFormat="1" ht="16">
      <c r="B108" s="261" t="s">
        <v>123</v>
      </c>
      <c r="C108" s="262" t="s">
        <v>334</v>
      </c>
      <c r="D108" s="262" t="s">
        <v>131</v>
      </c>
      <c r="E108" s="262" t="s">
        <v>334</v>
      </c>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row>
    <row r="109" spans="2:36" s="29" customFormat="1" ht="16">
      <c r="B109" s="259" t="s">
        <v>73</v>
      </c>
      <c r="C109" s="263">
        <f>IF(Inputs!$G$22="Simple",Inputs!$G$30*Inputs!$P$84,IF(Inputs!$G$22="Intermediate",SUMPRODUCT(Inputs!$G$24:$G$28,Inputs!$P$85:$P$89),'Complex Inputs'!$F$121))</f>
        <v>16297250</v>
      </c>
      <c r="D109" s="514">
        <f t="shared" ref="D109:D116" si="27">C109/$C$120</f>
        <v>0.94</v>
      </c>
      <c r="E109" s="263">
        <f>($C$120-$C$122)*IF(Inputs!$P$80="No",1,(1-Inputs!$P$81))*D109</f>
        <v>13999337.75</v>
      </c>
      <c r="F109" s="264"/>
      <c r="G109" s="265">
        <v>0.2</v>
      </c>
      <c r="H109" s="265">
        <v>0.32</v>
      </c>
      <c r="I109" s="265">
        <v>0.192</v>
      </c>
      <c r="J109" s="265">
        <v>0.1152</v>
      </c>
      <c r="K109" s="265">
        <v>0.1152</v>
      </c>
      <c r="L109" s="265">
        <v>5.7599999999999998E-2</v>
      </c>
      <c r="M109" s="265">
        <v>0</v>
      </c>
      <c r="N109" s="265">
        <v>0</v>
      </c>
      <c r="O109" s="265">
        <v>0</v>
      </c>
      <c r="P109" s="265">
        <v>0</v>
      </c>
      <c r="Q109" s="265">
        <v>0</v>
      </c>
      <c r="R109" s="265">
        <v>0</v>
      </c>
      <c r="S109" s="265">
        <v>0</v>
      </c>
      <c r="T109" s="265">
        <v>0</v>
      </c>
      <c r="U109" s="265">
        <v>0</v>
      </c>
      <c r="V109" s="265">
        <v>0</v>
      </c>
      <c r="W109" s="265">
        <v>0</v>
      </c>
      <c r="X109" s="265">
        <v>0</v>
      </c>
      <c r="Y109" s="265">
        <v>0</v>
      </c>
      <c r="Z109" s="265">
        <v>0</v>
      </c>
      <c r="AA109" s="265">
        <v>0</v>
      </c>
      <c r="AB109" s="265">
        <v>0</v>
      </c>
      <c r="AC109" s="265">
        <v>0</v>
      </c>
      <c r="AD109" s="265">
        <v>0</v>
      </c>
      <c r="AE109" s="265">
        <v>0</v>
      </c>
      <c r="AF109" s="265">
        <v>0</v>
      </c>
      <c r="AG109" s="265">
        <v>0</v>
      </c>
      <c r="AH109" s="265">
        <v>0</v>
      </c>
      <c r="AI109" s="265">
        <v>0</v>
      </c>
      <c r="AJ109" s="265">
        <v>0</v>
      </c>
    </row>
    <row r="110" spans="2:36" s="29" customFormat="1" ht="16">
      <c r="B110" s="259" t="s">
        <v>124</v>
      </c>
      <c r="C110" s="263">
        <f>IF(Inputs!$G$22="Simple",Inputs!$G$30*Inputs!$Q$84,IF(Inputs!$G$22="Intermediate",SUMPRODUCT(Inputs!$G$24:$G$28,Inputs!$Q$85:$Q$89),'Complex Inputs'!$G$121))</f>
        <v>0</v>
      </c>
      <c r="D110" s="514">
        <f t="shared" si="27"/>
        <v>0</v>
      </c>
      <c r="E110" s="263">
        <f>($C$120-$C$122)*IF(Inputs!$P$80="No",1,(1-Inputs!$P$81))*D110</f>
        <v>0</v>
      </c>
      <c r="F110" s="259"/>
      <c r="G110" s="265">
        <v>0.1429</v>
      </c>
      <c r="H110" s="265">
        <v>0.24490000000000001</v>
      </c>
      <c r="I110" s="265">
        <v>0.1749</v>
      </c>
      <c r="J110" s="265">
        <v>0.1249</v>
      </c>
      <c r="K110" s="265">
        <v>8.9300000000000004E-2</v>
      </c>
      <c r="L110" s="265">
        <v>8.9200000000000002E-2</v>
      </c>
      <c r="M110" s="265">
        <v>8.9300000000000004E-2</v>
      </c>
      <c r="N110" s="265">
        <v>4.4600000000000001E-2</v>
      </c>
      <c r="O110" s="265">
        <v>0</v>
      </c>
      <c r="P110" s="265">
        <v>0</v>
      </c>
      <c r="Q110" s="265">
        <v>0</v>
      </c>
      <c r="R110" s="265">
        <v>0</v>
      </c>
      <c r="S110" s="265">
        <v>0</v>
      </c>
      <c r="T110" s="265">
        <v>0</v>
      </c>
      <c r="U110" s="265">
        <v>0</v>
      </c>
      <c r="V110" s="265">
        <v>0</v>
      </c>
      <c r="W110" s="265">
        <v>0</v>
      </c>
      <c r="X110" s="265">
        <v>0</v>
      </c>
      <c r="Y110" s="265">
        <v>0</v>
      </c>
      <c r="Z110" s="265">
        <v>0</v>
      </c>
      <c r="AA110" s="265">
        <v>0</v>
      </c>
      <c r="AB110" s="265">
        <v>0</v>
      </c>
      <c r="AC110" s="265">
        <v>0</v>
      </c>
      <c r="AD110" s="265">
        <v>0</v>
      </c>
      <c r="AE110" s="265">
        <v>0</v>
      </c>
      <c r="AF110" s="265">
        <v>0</v>
      </c>
      <c r="AG110" s="265">
        <v>0</v>
      </c>
      <c r="AH110" s="265">
        <v>0</v>
      </c>
      <c r="AI110" s="265">
        <v>0</v>
      </c>
      <c r="AJ110" s="265">
        <v>0</v>
      </c>
    </row>
    <row r="111" spans="2:36" s="29" customFormat="1" ht="16">
      <c r="B111" s="259" t="s">
        <v>74</v>
      </c>
      <c r="C111" s="263">
        <f>IF(Inputs!$G$22="Simple",Inputs!$G$30*Inputs!$R$84,IF(Inputs!$G$22="Intermediate",SUMPRODUCT(Inputs!$G$24:$G$28,Inputs!$R$85:$R$89),'Complex Inputs'!$H$121))</f>
        <v>260062.5</v>
      </c>
      <c r="D111" s="514">
        <f t="shared" si="27"/>
        <v>1.4999999999999999E-2</v>
      </c>
      <c r="E111" s="263">
        <f>($C$120-$C$122)*IF(Inputs!$P$80="No",1,(1-Inputs!$P$81))*D111</f>
        <v>223393.6875</v>
      </c>
      <c r="F111" s="259"/>
      <c r="G111" s="265">
        <v>0.05</v>
      </c>
      <c r="H111" s="265">
        <v>9.5000000000000001E-2</v>
      </c>
      <c r="I111" s="265">
        <v>8.5500000000000007E-2</v>
      </c>
      <c r="J111" s="265">
        <v>7.6999999999999999E-2</v>
      </c>
      <c r="K111" s="265">
        <v>6.93E-2</v>
      </c>
      <c r="L111" s="265">
        <v>6.2300000000000001E-2</v>
      </c>
      <c r="M111" s="265">
        <v>5.8999999999999997E-2</v>
      </c>
      <c r="N111" s="265">
        <v>5.8999999999999997E-2</v>
      </c>
      <c r="O111" s="265">
        <v>5.91E-2</v>
      </c>
      <c r="P111" s="265">
        <v>5.8999999999999997E-2</v>
      </c>
      <c r="Q111" s="265">
        <v>5.91E-2</v>
      </c>
      <c r="R111" s="265">
        <v>5.8999999999999997E-2</v>
      </c>
      <c r="S111" s="265">
        <v>5.91E-2</v>
      </c>
      <c r="T111" s="265">
        <v>5.8999999999999997E-2</v>
      </c>
      <c r="U111" s="265">
        <v>5.91E-2</v>
      </c>
      <c r="V111" s="265">
        <v>2.9499999999999998E-2</v>
      </c>
      <c r="W111" s="265">
        <v>0</v>
      </c>
      <c r="X111" s="265">
        <v>0</v>
      </c>
      <c r="Y111" s="265">
        <v>0</v>
      </c>
      <c r="Z111" s="265">
        <v>0</v>
      </c>
      <c r="AA111" s="265">
        <v>0</v>
      </c>
      <c r="AB111" s="265">
        <v>0</v>
      </c>
      <c r="AC111" s="265">
        <v>0</v>
      </c>
      <c r="AD111" s="265">
        <v>0</v>
      </c>
      <c r="AE111" s="265">
        <v>0</v>
      </c>
      <c r="AF111" s="265">
        <v>0</v>
      </c>
      <c r="AG111" s="265">
        <v>0</v>
      </c>
      <c r="AH111" s="265">
        <v>0</v>
      </c>
      <c r="AI111" s="265">
        <v>0</v>
      </c>
      <c r="AJ111" s="265">
        <v>0</v>
      </c>
    </row>
    <row r="112" spans="2:36" s="29" customFormat="1" ht="16">
      <c r="B112" s="259" t="s">
        <v>75</v>
      </c>
      <c r="C112" s="263">
        <f>IF(Inputs!$G$22="Simple",Inputs!$G$30*Inputs!$U$84,IF(Inputs!$G$22="Intermediate",SUMPRODUCT(Inputs!$G$24:$G$28,Inputs!$U$85:$U$89),'Complex Inputs'!$I$121))</f>
        <v>173375</v>
      </c>
      <c r="D112" s="514">
        <f t="shared" si="27"/>
        <v>0.01</v>
      </c>
      <c r="E112" s="263">
        <f>($C$120-$C$122)*IF(Inputs!$P$80="No",1,(1-Inputs!$P$81))*D112</f>
        <v>148929.125</v>
      </c>
      <c r="F112" s="259"/>
      <c r="G112" s="265">
        <v>3.7499999999999999E-2</v>
      </c>
      <c r="H112" s="265">
        <v>7.2190000000000004E-2</v>
      </c>
      <c r="I112" s="265">
        <v>6.6769999999999996E-2</v>
      </c>
      <c r="J112" s="265">
        <v>6.1769999999999999E-2</v>
      </c>
      <c r="K112" s="265">
        <v>5.713E-2</v>
      </c>
      <c r="L112" s="265">
        <v>5.2850000000000001E-2</v>
      </c>
      <c r="M112" s="265">
        <v>4.888E-2</v>
      </c>
      <c r="N112" s="265">
        <v>4.5220000000000003E-2</v>
      </c>
      <c r="O112" s="265">
        <v>4.462E-2</v>
      </c>
      <c r="P112" s="265">
        <v>4.4609999999999997E-2</v>
      </c>
      <c r="Q112" s="265">
        <v>4.462E-2</v>
      </c>
      <c r="R112" s="265">
        <v>4.4609999999999997E-2</v>
      </c>
      <c r="S112" s="265">
        <v>4.462E-2</v>
      </c>
      <c r="T112" s="265">
        <v>4.4609999999999997E-2</v>
      </c>
      <c r="U112" s="265">
        <v>4.462E-2</v>
      </c>
      <c r="V112" s="265">
        <v>4.4609999999999997E-2</v>
      </c>
      <c r="W112" s="265">
        <v>4.462E-2</v>
      </c>
      <c r="X112" s="265">
        <v>4.4609999999999997E-2</v>
      </c>
      <c r="Y112" s="265">
        <v>4.462E-2</v>
      </c>
      <c r="Z112" s="265">
        <v>4.4609999999999997E-2</v>
      </c>
      <c r="AA112" s="265">
        <v>2.231E-2</v>
      </c>
      <c r="AB112" s="265">
        <v>0</v>
      </c>
      <c r="AC112" s="265">
        <v>0</v>
      </c>
      <c r="AD112" s="265">
        <v>0</v>
      </c>
      <c r="AE112" s="265">
        <v>0</v>
      </c>
      <c r="AF112" s="265">
        <v>0</v>
      </c>
      <c r="AG112" s="265">
        <v>0</v>
      </c>
      <c r="AH112" s="265">
        <v>0</v>
      </c>
      <c r="AI112" s="265">
        <v>0</v>
      </c>
      <c r="AJ112" s="265">
        <v>0</v>
      </c>
    </row>
    <row r="113" spans="2:36" s="29" customFormat="1" ht="16">
      <c r="B113" s="259" t="s">
        <v>125</v>
      </c>
      <c r="C113" s="263">
        <f>IF(Inputs!$G$22="Simple",Inputs!$G$30*Inputs!$V$84,IF(Inputs!$G$22="Intermediate",SUMPRODUCT(Inputs!$G$24:$G$28,Inputs!$V$85:$V$89),'Complex Inputs'!$J$121))</f>
        <v>0</v>
      </c>
      <c r="D113" s="514">
        <f t="shared" si="27"/>
        <v>0</v>
      </c>
      <c r="E113" s="263">
        <f>($C$120-$C$122)*IF(Inputs!$P$80="No",1,(1-Inputs!$P$81))*D113</f>
        <v>0</v>
      </c>
      <c r="F113" s="259"/>
      <c r="G113" s="265">
        <v>0.1</v>
      </c>
      <c r="H113" s="265">
        <v>0.2</v>
      </c>
      <c r="I113" s="265">
        <v>0.2</v>
      </c>
      <c r="J113" s="265">
        <v>0.2</v>
      </c>
      <c r="K113" s="265">
        <v>0.2</v>
      </c>
      <c r="L113" s="265">
        <v>0.1</v>
      </c>
      <c r="M113" s="265">
        <f t="shared" ref="M113:AJ113" si="28">IF(M$107&lt;=5, 1/5,0)</f>
        <v>0</v>
      </c>
      <c r="N113" s="265">
        <f t="shared" si="28"/>
        <v>0</v>
      </c>
      <c r="O113" s="265">
        <f t="shared" si="28"/>
        <v>0</v>
      </c>
      <c r="P113" s="265">
        <f t="shared" si="28"/>
        <v>0</v>
      </c>
      <c r="Q113" s="265">
        <f t="shared" si="28"/>
        <v>0</v>
      </c>
      <c r="R113" s="265">
        <f t="shared" si="28"/>
        <v>0</v>
      </c>
      <c r="S113" s="265">
        <f t="shared" si="28"/>
        <v>0</v>
      </c>
      <c r="T113" s="265">
        <f t="shared" si="28"/>
        <v>0</v>
      </c>
      <c r="U113" s="265">
        <f t="shared" si="28"/>
        <v>0</v>
      </c>
      <c r="V113" s="265">
        <f t="shared" si="28"/>
        <v>0</v>
      </c>
      <c r="W113" s="265">
        <f t="shared" si="28"/>
        <v>0</v>
      </c>
      <c r="X113" s="265">
        <f t="shared" si="28"/>
        <v>0</v>
      </c>
      <c r="Y113" s="265">
        <f t="shared" si="28"/>
        <v>0</v>
      </c>
      <c r="Z113" s="265">
        <f t="shared" si="28"/>
        <v>0</v>
      </c>
      <c r="AA113" s="265">
        <f t="shared" si="28"/>
        <v>0</v>
      </c>
      <c r="AB113" s="265">
        <f t="shared" si="28"/>
        <v>0</v>
      </c>
      <c r="AC113" s="265">
        <f t="shared" si="28"/>
        <v>0</v>
      </c>
      <c r="AD113" s="265">
        <f t="shared" si="28"/>
        <v>0</v>
      </c>
      <c r="AE113" s="265">
        <f t="shared" si="28"/>
        <v>0</v>
      </c>
      <c r="AF113" s="265">
        <f t="shared" si="28"/>
        <v>0</v>
      </c>
      <c r="AG113" s="265">
        <f t="shared" si="28"/>
        <v>0</v>
      </c>
      <c r="AH113" s="265">
        <f t="shared" si="28"/>
        <v>0</v>
      </c>
      <c r="AI113" s="265">
        <f t="shared" si="28"/>
        <v>0</v>
      </c>
      <c r="AJ113" s="265">
        <f t="shared" si="28"/>
        <v>0</v>
      </c>
    </row>
    <row r="114" spans="2:36" s="29" customFormat="1" ht="16">
      <c r="B114" s="259" t="s">
        <v>126</v>
      </c>
      <c r="C114" s="263">
        <f>IF(Inputs!$G$22="Simple",Inputs!$G$30*Inputs!$W$84,IF(Inputs!$G$22="Intermediate",SUMPRODUCT(Inputs!$G$24:$G$28,Inputs!$W$85:$W$89),'Complex Inputs'!$K$121))</f>
        <v>0</v>
      </c>
      <c r="D114" s="514">
        <f t="shared" si="27"/>
        <v>0</v>
      </c>
      <c r="E114" s="263">
        <f>($C$120-$C$122)*IF(Inputs!$P$80="No",1,(1-Inputs!$P$81))*D114</f>
        <v>0</v>
      </c>
      <c r="F114" s="259"/>
      <c r="G114" s="265">
        <v>3.3300000000000003E-2</v>
      </c>
      <c r="H114" s="265">
        <v>6.6699999999999995E-2</v>
      </c>
      <c r="I114" s="265">
        <v>6.6699999999999995E-2</v>
      </c>
      <c r="J114" s="265">
        <v>6.6699999999999995E-2</v>
      </c>
      <c r="K114" s="265">
        <v>6.6699999999999995E-2</v>
      </c>
      <c r="L114" s="265">
        <v>6.6699999999999995E-2</v>
      </c>
      <c r="M114" s="265">
        <v>6.6699999999999995E-2</v>
      </c>
      <c r="N114" s="265">
        <v>6.6699999999999995E-2</v>
      </c>
      <c r="O114" s="265">
        <v>6.6699999999999995E-2</v>
      </c>
      <c r="P114" s="265">
        <v>6.6699999999999995E-2</v>
      </c>
      <c r="Q114" s="265">
        <v>6.6699999999999995E-2</v>
      </c>
      <c r="R114" s="265">
        <v>6.6600000000000006E-2</v>
      </c>
      <c r="S114" s="265">
        <v>6.6600000000000006E-2</v>
      </c>
      <c r="T114" s="265">
        <v>6.6600000000000006E-2</v>
      </c>
      <c r="U114" s="265">
        <v>6.6600000000000006E-2</v>
      </c>
      <c r="V114" s="265">
        <v>3.3300000000000003E-2</v>
      </c>
      <c r="W114" s="265">
        <f t="shared" ref="W114:AJ114" si="29">IF(W$107&lt;=15, 1/15,0)</f>
        <v>0</v>
      </c>
      <c r="X114" s="265">
        <f t="shared" si="29"/>
        <v>0</v>
      </c>
      <c r="Y114" s="265">
        <f t="shared" si="29"/>
        <v>0</v>
      </c>
      <c r="Z114" s="265">
        <f t="shared" si="29"/>
        <v>0</v>
      </c>
      <c r="AA114" s="265">
        <f t="shared" si="29"/>
        <v>0</v>
      </c>
      <c r="AB114" s="265">
        <f t="shared" si="29"/>
        <v>0</v>
      </c>
      <c r="AC114" s="265">
        <f t="shared" si="29"/>
        <v>0</v>
      </c>
      <c r="AD114" s="265">
        <f t="shared" si="29"/>
        <v>0</v>
      </c>
      <c r="AE114" s="265">
        <f t="shared" si="29"/>
        <v>0</v>
      </c>
      <c r="AF114" s="265">
        <f t="shared" si="29"/>
        <v>0</v>
      </c>
      <c r="AG114" s="265">
        <f t="shared" si="29"/>
        <v>0</v>
      </c>
      <c r="AH114" s="265">
        <f t="shared" si="29"/>
        <v>0</v>
      </c>
      <c r="AI114" s="265">
        <f t="shared" si="29"/>
        <v>0</v>
      </c>
      <c r="AJ114" s="265">
        <f t="shared" si="29"/>
        <v>0</v>
      </c>
    </row>
    <row r="115" spans="2:36" s="29" customFormat="1" ht="16">
      <c r="B115" s="259" t="s">
        <v>76</v>
      </c>
      <c r="C115" s="263">
        <f>IF(Inputs!$G$22="Simple",Inputs!$G$30*Inputs!$X$84,IF(Inputs!$G$22="Intermediate",SUMPRODUCT(Inputs!$G$24:$G$28,Inputs!$X$85:$X$89),'Complex Inputs'!$L$121))</f>
        <v>173375</v>
      </c>
      <c r="D115" s="514">
        <f t="shared" si="27"/>
        <v>0.01</v>
      </c>
      <c r="E115" s="263">
        <f>($C$120-$C$122)*IF(Inputs!$P$80="No",1,(1-Inputs!$P$81))*D115</f>
        <v>148929.125</v>
      </c>
      <c r="F115" s="259"/>
      <c r="G115" s="265">
        <v>2.5000000000000001E-2</v>
      </c>
      <c r="H115" s="265">
        <v>0.05</v>
      </c>
      <c r="I115" s="265">
        <v>0.05</v>
      </c>
      <c r="J115" s="265">
        <v>0.05</v>
      </c>
      <c r="K115" s="265">
        <v>0.05</v>
      </c>
      <c r="L115" s="265">
        <v>0.05</v>
      </c>
      <c r="M115" s="265">
        <v>0.05</v>
      </c>
      <c r="N115" s="265">
        <v>0.05</v>
      </c>
      <c r="O115" s="265">
        <v>0.05</v>
      </c>
      <c r="P115" s="265">
        <v>0.05</v>
      </c>
      <c r="Q115" s="265">
        <v>0.05</v>
      </c>
      <c r="R115" s="265">
        <v>0.05</v>
      </c>
      <c r="S115" s="265">
        <v>0.05</v>
      </c>
      <c r="T115" s="265">
        <v>0.05</v>
      </c>
      <c r="U115" s="265">
        <v>0.05</v>
      </c>
      <c r="V115" s="265">
        <v>0.05</v>
      </c>
      <c r="W115" s="265">
        <v>0.05</v>
      </c>
      <c r="X115" s="265">
        <v>0.05</v>
      </c>
      <c r="Y115" s="265">
        <v>0.05</v>
      </c>
      <c r="Z115" s="265">
        <v>0.05</v>
      </c>
      <c r="AA115" s="265">
        <v>2.5000000000000001E-2</v>
      </c>
      <c r="AB115" s="265">
        <f t="shared" ref="AB115:AJ115" si="30">IF(AB$107&lt;=20, 1/20,0)</f>
        <v>0</v>
      </c>
      <c r="AC115" s="265">
        <f t="shared" si="30"/>
        <v>0</v>
      </c>
      <c r="AD115" s="265">
        <f t="shared" si="30"/>
        <v>0</v>
      </c>
      <c r="AE115" s="265">
        <f t="shared" si="30"/>
        <v>0</v>
      </c>
      <c r="AF115" s="265">
        <f t="shared" si="30"/>
        <v>0</v>
      </c>
      <c r="AG115" s="265">
        <f t="shared" si="30"/>
        <v>0</v>
      </c>
      <c r="AH115" s="265">
        <f t="shared" si="30"/>
        <v>0</v>
      </c>
      <c r="AI115" s="265">
        <f t="shared" si="30"/>
        <v>0</v>
      </c>
      <c r="AJ115" s="265">
        <f t="shared" si="30"/>
        <v>0</v>
      </c>
    </row>
    <row r="116" spans="2:36" s="29" customFormat="1" ht="16">
      <c r="B116" s="259" t="s">
        <v>77</v>
      </c>
      <c r="C116" s="263">
        <f>IF(Inputs!$G$22="Simple",Inputs!$G$30*Inputs!$Y$84,IF(Inputs!$G$22="Intermediate",SUMPRODUCT(Inputs!$G$24:$G$28,Inputs!$Y$85:$Y$89),'Complex Inputs'!$M$121))</f>
        <v>0</v>
      </c>
      <c r="D116" s="514">
        <f t="shared" si="27"/>
        <v>0</v>
      </c>
      <c r="E116" s="263">
        <f>($C$120-$C$122)*IF(Inputs!$P$80="No",1,(1-Inputs!$P$81))*D116</f>
        <v>0</v>
      </c>
      <c r="F116" s="259"/>
      <c r="G116" s="265">
        <v>1.2800000000000001E-2</v>
      </c>
      <c r="H116" s="265">
        <v>2.5600000000000001E-2</v>
      </c>
      <c r="I116" s="265">
        <v>2.5600000000000001E-2</v>
      </c>
      <c r="J116" s="265">
        <v>2.5600000000000001E-2</v>
      </c>
      <c r="K116" s="265">
        <v>2.5600000000000001E-2</v>
      </c>
      <c r="L116" s="265">
        <v>2.5600000000000001E-2</v>
      </c>
      <c r="M116" s="265">
        <v>2.5600000000000001E-2</v>
      </c>
      <c r="N116" s="265">
        <v>2.5600000000000001E-2</v>
      </c>
      <c r="O116" s="265">
        <v>2.5600000000000001E-2</v>
      </c>
      <c r="P116" s="265">
        <v>2.5600000000000001E-2</v>
      </c>
      <c r="Q116" s="265">
        <v>2.5600000000000001E-2</v>
      </c>
      <c r="R116" s="265">
        <v>2.5600000000000001E-2</v>
      </c>
      <c r="S116" s="265">
        <v>2.5600000000000001E-2</v>
      </c>
      <c r="T116" s="265">
        <v>2.5600000000000001E-2</v>
      </c>
      <c r="U116" s="265">
        <v>2.5600000000000001E-2</v>
      </c>
      <c r="V116" s="265">
        <v>2.5600000000000001E-2</v>
      </c>
      <c r="W116" s="265">
        <v>2.5600000000000001E-2</v>
      </c>
      <c r="X116" s="265">
        <v>2.5600000000000001E-2</v>
      </c>
      <c r="Y116" s="265">
        <v>2.5600000000000001E-2</v>
      </c>
      <c r="Z116" s="265">
        <v>2.5600000000000001E-2</v>
      </c>
      <c r="AA116" s="265">
        <v>2.5600000000000001E-2</v>
      </c>
      <c r="AB116" s="265">
        <v>2.5600000000000001E-2</v>
      </c>
      <c r="AC116" s="265">
        <v>2.5600000000000001E-2</v>
      </c>
      <c r="AD116" s="265">
        <v>2.5600000000000001E-2</v>
      </c>
      <c r="AE116" s="265">
        <v>2.5600000000000001E-2</v>
      </c>
      <c r="AF116" s="265">
        <v>2.5600000000000001E-2</v>
      </c>
      <c r="AG116" s="265">
        <v>2.5600000000000001E-2</v>
      </c>
      <c r="AH116" s="265">
        <v>2.5600000000000001E-2</v>
      </c>
      <c r="AI116" s="265">
        <v>2.5600000000000001E-2</v>
      </c>
      <c r="AJ116" s="265">
        <v>2.5600000000000001E-2</v>
      </c>
    </row>
    <row r="117" spans="2:36" s="29" customFormat="1" ht="16">
      <c r="B117" s="259" t="s">
        <v>327</v>
      </c>
      <c r="C117" s="263"/>
      <c r="D117" s="514"/>
      <c r="E117" s="263">
        <f>($C$120-$C$122)*IF(Inputs!$P$80="No",0,Inputs!$P$81)</f>
        <v>0</v>
      </c>
      <c r="F117" s="259"/>
      <c r="G117" s="265">
        <v>1</v>
      </c>
      <c r="H117" s="265">
        <v>0</v>
      </c>
      <c r="I117" s="265">
        <v>0</v>
      </c>
      <c r="J117" s="265">
        <v>0</v>
      </c>
      <c r="K117" s="265">
        <v>0</v>
      </c>
      <c r="L117" s="265">
        <v>0</v>
      </c>
      <c r="M117" s="265">
        <v>0</v>
      </c>
      <c r="N117" s="265">
        <v>0</v>
      </c>
      <c r="O117" s="265">
        <v>0</v>
      </c>
      <c r="P117" s="265">
        <v>0</v>
      </c>
      <c r="Q117" s="265">
        <v>0</v>
      </c>
      <c r="R117" s="265">
        <v>0</v>
      </c>
      <c r="S117" s="265">
        <v>0</v>
      </c>
      <c r="T117" s="265">
        <v>0</v>
      </c>
      <c r="U117" s="265">
        <v>0</v>
      </c>
      <c r="V117" s="265">
        <v>0</v>
      </c>
      <c r="W117" s="265">
        <v>0</v>
      </c>
      <c r="X117" s="265">
        <v>0</v>
      </c>
      <c r="Y117" s="265">
        <v>0</v>
      </c>
      <c r="Z117" s="265">
        <v>0</v>
      </c>
      <c r="AA117" s="265">
        <v>0</v>
      </c>
      <c r="AB117" s="265">
        <v>0</v>
      </c>
      <c r="AC117" s="265">
        <v>0</v>
      </c>
      <c r="AD117" s="265">
        <v>0</v>
      </c>
      <c r="AE117" s="265">
        <v>0</v>
      </c>
      <c r="AF117" s="265">
        <v>0</v>
      </c>
      <c r="AG117" s="265">
        <v>0</v>
      </c>
      <c r="AH117" s="265">
        <v>0</v>
      </c>
      <c r="AI117" s="265">
        <v>0</v>
      </c>
      <c r="AJ117" s="265">
        <v>0</v>
      </c>
    </row>
    <row r="118" spans="2:36" s="29" customFormat="1" ht="16">
      <c r="B118" s="272" t="s">
        <v>23</v>
      </c>
      <c r="C118" s="516">
        <f>IF(Inputs!$G$22="Simple",Inputs!$G$30*Inputs!$Z$84,IF(Inputs!$G$22="Intermediate",SUMPRODUCT(Inputs!$G$24:$G$28,Inputs!$Z$85:$Z$89),'Complex Inputs'!$N$121))</f>
        <v>433437.5</v>
      </c>
      <c r="D118" s="517">
        <f>C118/$C$120</f>
        <v>2.5000000000000001E-2</v>
      </c>
      <c r="E118" s="516">
        <f>($C$120-$C$122)*IF(Inputs!$P$80="No",1,(1-Inputs!$P$81))*D118</f>
        <v>372322.8125</v>
      </c>
      <c r="F118" s="259"/>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row>
    <row r="119" spans="2:36" s="29" customFormat="1" ht="16">
      <c r="B119" s="346"/>
      <c r="C119" s="513" t="s">
        <v>335</v>
      </c>
      <c r="D119" s="513"/>
      <c r="E119" s="513" t="s">
        <v>336</v>
      </c>
      <c r="F119" s="259"/>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row>
    <row r="120" spans="2:36" s="29" customFormat="1" ht="16">
      <c r="B120" s="258" t="s">
        <v>337</v>
      </c>
      <c r="C120" s="268">
        <f>SUM(C109:C118)</f>
        <v>17337500</v>
      </c>
      <c r="D120" s="514">
        <f>SUM(D109:D118)</f>
        <v>1</v>
      </c>
      <c r="E120" s="268">
        <f>SUM(E109:E118)</f>
        <v>14892912.5</v>
      </c>
      <c r="F120" s="259"/>
      <c r="G120" s="266"/>
      <c r="H120" s="266"/>
      <c r="I120" s="266"/>
      <c r="J120" s="266"/>
      <c r="K120" s="266"/>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row>
    <row r="121" spans="2:36" s="29" customFormat="1" ht="16">
      <c r="B121" s="346"/>
      <c r="C121" s="515" t="str">
        <f>IF(C120=Inputs!$G$30,"OK","error")</f>
        <v>OK</v>
      </c>
      <c r="D121" s="515" t="str">
        <f>IF(D120=100%,"OK","error")</f>
        <v>OK</v>
      </c>
      <c r="E121" s="515" t="str">
        <f>IF(E120=(C120-C122),"OK","error")</f>
        <v>OK</v>
      </c>
      <c r="F121" s="259"/>
      <c r="G121" s="266"/>
      <c r="H121" s="266"/>
      <c r="I121" s="266"/>
      <c r="J121" s="266"/>
      <c r="K121" s="266"/>
      <c r="L121" s="266"/>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c r="AJ121" s="266"/>
    </row>
    <row r="122" spans="2:36" s="29" customFormat="1" ht="16">
      <c r="B122" s="259" t="s">
        <v>326</v>
      </c>
      <c r="C122" s="263">
        <f>IF(OR(Inputs!$Q$24="Performance-Based",Inputs!$Q$24="Neither"),0,50%*Inputs!$Q$28)+IF(Inputs!$Q$35="Yes",0,Inputs!$Q$34)+IF(Inputs!$Q$52="Yes",0,IF(Inputs!$Q$51=0,Inputs!$Q$50*Inputs!$G$9,MIN(Inputs!$Q$51,Inputs!$Q$50*Inputs!$G$9)))</f>
        <v>2444587.5</v>
      </c>
      <c r="D122" s="259"/>
      <c r="E122" s="263"/>
      <c r="F122" s="259"/>
      <c r="G122" s="266"/>
      <c r="H122" s="266"/>
      <c r="I122" s="266"/>
      <c r="J122" s="266"/>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row>
    <row r="123" spans="2:36" s="29" customFormat="1" ht="16">
      <c r="B123" s="259"/>
      <c r="C123" s="259"/>
      <c r="D123" s="259"/>
      <c r="E123" s="263"/>
      <c r="F123" s="259"/>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6"/>
    </row>
    <row r="124" spans="2:36" s="29" customFormat="1" ht="16">
      <c r="B124" s="261" t="s">
        <v>148</v>
      </c>
      <c r="C124" s="261"/>
      <c r="D124" s="261"/>
      <c r="E124" s="259"/>
      <c r="F124" s="259"/>
      <c r="G124" s="266"/>
      <c r="H124" s="266"/>
      <c r="I124" s="266"/>
      <c r="J124" s="266"/>
      <c r="K124" s="266"/>
      <c r="L124" s="266"/>
      <c r="M124" s="266"/>
      <c r="N124" s="266"/>
      <c r="O124" s="266"/>
      <c r="P124" s="266"/>
      <c r="Q124" s="266"/>
      <c r="R124" s="266"/>
      <c r="S124" s="266"/>
      <c r="T124" s="266"/>
      <c r="U124" s="266"/>
      <c r="V124" s="266"/>
      <c r="W124" s="266"/>
      <c r="X124" s="266"/>
      <c r="Y124" s="266"/>
      <c r="Z124" s="266"/>
      <c r="AA124" s="266"/>
      <c r="AB124" s="266"/>
      <c r="AC124" s="266"/>
      <c r="AD124" s="266"/>
      <c r="AE124" s="266"/>
      <c r="AF124" s="266"/>
      <c r="AG124" s="266"/>
      <c r="AH124" s="266"/>
      <c r="AI124" s="266"/>
      <c r="AJ124" s="266"/>
    </row>
    <row r="125" spans="2:36" s="29" customFormat="1" ht="16">
      <c r="B125" s="259" t="s">
        <v>78</v>
      </c>
      <c r="C125" s="259"/>
      <c r="D125" s="259"/>
      <c r="E125" s="267" t="s">
        <v>133</v>
      </c>
      <c r="F125" s="268"/>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row>
    <row r="126" spans="2:36" s="29" customFormat="1" ht="16">
      <c r="B126" s="259" t="s">
        <v>73</v>
      </c>
      <c r="C126" s="259"/>
      <c r="D126" s="259"/>
      <c r="E126" s="269">
        <f>SUM(G126:AJ126)</f>
        <v>13999337.749999998</v>
      </c>
      <c r="F126" s="268"/>
      <c r="G126" s="270">
        <f>$E109*G109</f>
        <v>2799867.5500000003</v>
      </c>
      <c r="H126" s="270">
        <f t="shared" ref="H126:AJ126" si="31">$E109*H109</f>
        <v>4479788.08</v>
      </c>
      <c r="I126" s="270">
        <f t="shared" si="31"/>
        <v>2687872.8480000002</v>
      </c>
      <c r="J126" s="270">
        <f t="shared" si="31"/>
        <v>1612723.7087999999</v>
      </c>
      <c r="K126" s="270">
        <f t="shared" si="31"/>
        <v>1612723.7087999999</v>
      </c>
      <c r="L126" s="270">
        <f t="shared" si="31"/>
        <v>806361.85439999995</v>
      </c>
      <c r="M126" s="270">
        <f t="shared" si="31"/>
        <v>0</v>
      </c>
      <c r="N126" s="270">
        <f t="shared" si="31"/>
        <v>0</v>
      </c>
      <c r="O126" s="270">
        <f t="shared" si="31"/>
        <v>0</v>
      </c>
      <c r="P126" s="270">
        <f t="shared" si="31"/>
        <v>0</v>
      </c>
      <c r="Q126" s="270">
        <f t="shared" si="31"/>
        <v>0</v>
      </c>
      <c r="R126" s="270">
        <f t="shared" si="31"/>
        <v>0</v>
      </c>
      <c r="S126" s="270">
        <f t="shared" si="31"/>
        <v>0</v>
      </c>
      <c r="T126" s="270">
        <f t="shared" si="31"/>
        <v>0</v>
      </c>
      <c r="U126" s="270">
        <f t="shared" si="31"/>
        <v>0</v>
      </c>
      <c r="V126" s="270">
        <f t="shared" si="31"/>
        <v>0</v>
      </c>
      <c r="W126" s="270">
        <f t="shared" si="31"/>
        <v>0</v>
      </c>
      <c r="X126" s="270">
        <f t="shared" si="31"/>
        <v>0</v>
      </c>
      <c r="Y126" s="270">
        <f t="shared" si="31"/>
        <v>0</v>
      </c>
      <c r="Z126" s="270">
        <f t="shared" si="31"/>
        <v>0</v>
      </c>
      <c r="AA126" s="270">
        <f t="shared" si="31"/>
        <v>0</v>
      </c>
      <c r="AB126" s="270">
        <f t="shared" si="31"/>
        <v>0</v>
      </c>
      <c r="AC126" s="270">
        <f t="shared" si="31"/>
        <v>0</v>
      </c>
      <c r="AD126" s="270">
        <f t="shared" si="31"/>
        <v>0</v>
      </c>
      <c r="AE126" s="270">
        <f t="shared" si="31"/>
        <v>0</v>
      </c>
      <c r="AF126" s="270">
        <f t="shared" si="31"/>
        <v>0</v>
      </c>
      <c r="AG126" s="270">
        <f t="shared" si="31"/>
        <v>0</v>
      </c>
      <c r="AH126" s="270">
        <f t="shared" si="31"/>
        <v>0</v>
      </c>
      <c r="AI126" s="270">
        <f t="shared" si="31"/>
        <v>0</v>
      </c>
      <c r="AJ126" s="270">
        <f t="shared" si="31"/>
        <v>0</v>
      </c>
    </row>
    <row r="127" spans="2:36" s="29" customFormat="1" ht="16">
      <c r="B127" s="259" t="s">
        <v>124</v>
      </c>
      <c r="C127" s="259"/>
      <c r="D127" s="259"/>
      <c r="E127" s="269">
        <f t="shared" ref="E127:E134" si="32">SUM(G127:AJ127)</f>
        <v>0</v>
      </c>
      <c r="F127" s="268"/>
      <c r="G127" s="270">
        <f t="shared" ref="G127:AJ127" si="33">$E110*G110</f>
        <v>0</v>
      </c>
      <c r="H127" s="270">
        <f t="shared" si="33"/>
        <v>0</v>
      </c>
      <c r="I127" s="270">
        <f t="shared" si="33"/>
        <v>0</v>
      </c>
      <c r="J127" s="270">
        <f t="shared" si="33"/>
        <v>0</v>
      </c>
      <c r="K127" s="270">
        <f t="shared" si="33"/>
        <v>0</v>
      </c>
      <c r="L127" s="270">
        <f t="shared" si="33"/>
        <v>0</v>
      </c>
      <c r="M127" s="270">
        <f t="shared" si="33"/>
        <v>0</v>
      </c>
      <c r="N127" s="270">
        <f t="shared" si="33"/>
        <v>0</v>
      </c>
      <c r="O127" s="270">
        <f t="shared" si="33"/>
        <v>0</v>
      </c>
      <c r="P127" s="270">
        <f t="shared" si="33"/>
        <v>0</v>
      </c>
      <c r="Q127" s="270">
        <f t="shared" si="33"/>
        <v>0</v>
      </c>
      <c r="R127" s="270">
        <f t="shared" si="33"/>
        <v>0</v>
      </c>
      <c r="S127" s="270">
        <f t="shared" si="33"/>
        <v>0</v>
      </c>
      <c r="T127" s="270">
        <f t="shared" si="33"/>
        <v>0</v>
      </c>
      <c r="U127" s="270">
        <f t="shared" si="33"/>
        <v>0</v>
      </c>
      <c r="V127" s="270">
        <f t="shared" si="33"/>
        <v>0</v>
      </c>
      <c r="W127" s="270">
        <f t="shared" si="33"/>
        <v>0</v>
      </c>
      <c r="X127" s="270">
        <f t="shared" si="33"/>
        <v>0</v>
      </c>
      <c r="Y127" s="270">
        <f t="shared" si="33"/>
        <v>0</v>
      </c>
      <c r="Z127" s="270">
        <f t="shared" si="33"/>
        <v>0</v>
      </c>
      <c r="AA127" s="270">
        <f t="shared" si="33"/>
        <v>0</v>
      </c>
      <c r="AB127" s="270">
        <f t="shared" si="33"/>
        <v>0</v>
      </c>
      <c r="AC127" s="270">
        <f t="shared" si="33"/>
        <v>0</v>
      </c>
      <c r="AD127" s="270">
        <f t="shared" si="33"/>
        <v>0</v>
      </c>
      <c r="AE127" s="270">
        <f t="shared" si="33"/>
        <v>0</v>
      </c>
      <c r="AF127" s="270">
        <f t="shared" si="33"/>
        <v>0</v>
      </c>
      <c r="AG127" s="270">
        <f t="shared" si="33"/>
        <v>0</v>
      </c>
      <c r="AH127" s="270">
        <f t="shared" si="33"/>
        <v>0</v>
      </c>
      <c r="AI127" s="270">
        <f t="shared" si="33"/>
        <v>0</v>
      </c>
      <c r="AJ127" s="270">
        <f t="shared" si="33"/>
        <v>0</v>
      </c>
    </row>
    <row r="128" spans="2:36" s="29" customFormat="1" ht="16">
      <c r="B128" s="259" t="s">
        <v>74</v>
      </c>
      <c r="C128" s="259"/>
      <c r="D128" s="259"/>
      <c r="E128" s="269">
        <f t="shared" si="32"/>
        <v>223393.6875</v>
      </c>
      <c r="F128" s="268"/>
      <c r="G128" s="270">
        <f t="shared" ref="G128:AJ128" si="34">$E111*G111</f>
        <v>11169.684375000001</v>
      </c>
      <c r="H128" s="270">
        <f t="shared" si="34"/>
        <v>21222.400312500002</v>
      </c>
      <c r="I128" s="270">
        <f t="shared" si="34"/>
        <v>19100.160281250002</v>
      </c>
      <c r="J128" s="270">
        <f t="shared" si="34"/>
        <v>17201.313937499999</v>
      </c>
      <c r="K128" s="270">
        <f t="shared" si="34"/>
        <v>15481.182543749999</v>
      </c>
      <c r="L128" s="270">
        <f t="shared" si="34"/>
        <v>13917.42673125</v>
      </c>
      <c r="M128" s="270">
        <f t="shared" si="34"/>
        <v>13180.2275625</v>
      </c>
      <c r="N128" s="270">
        <f t="shared" si="34"/>
        <v>13180.2275625</v>
      </c>
      <c r="O128" s="270">
        <f t="shared" si="34"/>
        <v>13202.566931249999</v>
      </c>
      <c r="P128" s="270">
        <f t="shared" si="34"/>
        <v>13180.2275625</v>
      </c>
      <c r="Q128" s="270">
        <f t="shared" si="34"/>
        <v>13202.566931249999</v>
      </c>
      <c r="R128" s="270">
        <f t="shared" si="34"/>
        <v>13180.2275625</v>
      </c>
      <c r="S128" s="270">
        <f t="shared" si="34"/>
        <v>13202.566931249999</v>
      </c>
      <c r="T128" s="270">
        <f t="shared" si="34"/>
        <v>13180.2275625</v>
      </c>
      <c r="U128" s="270">
        <f t="shared" si="34"/>
        <v>13202.566931249999</v>
      </c>
      <c r="V128" s="270">
        <f t="shared" si="34"/>
        <v>6590.1137812500001</v>
      </c>
      <c r="W128" s="270">
        <f t="shared" si="34"/>
        <v>0</v>
      </c>
      <c r="X128" s="270">
        <f t="shared" si="34"/>
        <v>0</v>
      </c>
      <c r="Y128" s="270">
        <f t="shared" si="34"/>
        <v>0</v>
      </c>
      <c r="Z128" s="270">
        <f t="shared" si="34"/>
        <v>0</v>
      </c>
      <c r="AA128" s="270">
        <f t="shared" si="34"/>
        <v>0</v>
      </c>
      <c r="AB128" s="270">
        <f t="shared" si="34"/>
        <v>0</v>
      </c>
      <c r="AC128" s="270">
        <f t="shared" si="34"/>
        <v>0</v>
      </c>
      <c r="AD128" s="270">
        <f t="shared" si="34"/>
        <v>0</v>
      </c>
      <c r="AE128" s="270">
        <f t="shared" si="34"/>
        <v>0</v>
      </c>
      <c r="AF128" s="270">
        <f t="shared" si="34"/>
        <v>0</v>
      </c>
      <c r="AG128" s="270">
        <f t="shared" si="34"/>
        <v>0</v>
      </c>
      <c r="AH128" s="270">
        <f t="shared" si="34"/>
        <v>0</v>
      </c>
      <c r="AI128" s="270">
        <f t="shared" si="34"/>
        <v>0</v>
      </c>
      <c r="AJ128" s="270">
        <f t="shared" si="34"/>
        <v>0</v>
      </c>
    </row>
    <row r="129" spans="2:36" s="29" customFormat="1" ht="16">
      <c r="B129" s="259" t="s">
        <v>75</v>
      </c>
      <c r="C129" s="259"/>
      <c r="D129" s="259"/>
      <c r="E129" s="269">
        <f t="shared" si="32"/>
        <v>148929.12499999997</v>
      </c>
      <c r="F129" s="268"/>
      <c r="G129" s="270">
        <f t="shared" ref="G129:AJ129" si="35">$E112*G112</f>
        <v>5584.8421874999995</v>
      </c>
      <c r="H129" s="270">
        <f t="shared" si="35"/>
        <v>10751.19353375</v>
      </c>
      <c r="I129" s="270">
        <f t="shared" si="35"/>
        <v>9943.9976762499991</v>
      </c>
      <c r="J129" s="270">
        <f t="shared" si="35"/>
        <v>9199.3520512499999</v>
      </c>
      <c r="K129" s="270">
        <f t="shared" si="35"/>
        <v>8508.3209112500008</v>
      </c>
      <c r="L129" s="270">
        <f t="shared" si="35"/>
        <v>7870.9042562499999</v>
      </c>
      <c r="M129" s="270">
        <f t="shared" si="35"/>
        <v>7279.6556300000002</v>
      </c>
      <c r="N129" s="270">
        <f t="shared" si="35"/>
        <v>6734.5750325000008</v>
      </c>
      <c r="O129" s="270">
        <f t="shared" si="35"/>
        <v>6645.2175575000001</v>
      </c>
      <c r="P129" s="270">
        <f t="shared" si="35"/>
        <v>6643.7282662499993</v>
      </c>
      <c r="Q129" s="270">
        <f t="shared" si="35"/>
        <v>6645.2175575000001</v>
      </c>
      <c r="R129" s="270">
        <f t="shared" si="35"/>
        <v>6643.7282662499993</v>
      </c>
      <c r="S129" s="270">
        <f t="shared" si="35"/>
        <v>6645.2175575000001</v>
      </c>
      <c r="T129" s="270">
        <f t="shared" si="35"/>
        <v>6643.7282662499993</v>
      </c>
      <c r="U129" s="270">
        <f t="shared" si="35"/>
        <v>6645.2175575000001</v>
      </c>
      <c r="V129" s="270">
        <f t="shared" si="35"/>
        <v>6643.7282662499993</v>
      </c>
      <c r="W129" s="270">
        <f t="shared" si="35"/>
        <v>6645.2175575000001</v>
      </c>
      <c r="X129" s="270">
        <f t="shared" si="35"/>
        <v>6643.7282662499993</v>
      </c>
      <c r="Y129" s="270">
        <f t="shared" si="35"/>
        <v>6645.2175575000001</v>
      </c>
      <c r="Z129" s="270">
        <f t="shared" si="35"/>
        <v>6643.7282662499993</v>
      </c>
      <c r="AA129" s="270">
        <f t="shared" si="35"/>
        <v>3322.6087787500001</v>
      </c>
      <c r="AB129" s="270">
        <f t="shared" si="35"/>
        <v>0</v>
      </c>
      <c r="AC129" s="270">
        <f t="shared" si="35"/>
        <v>0</v>
      </c>
      <c r="AD129" s="270">
        <f t="shared" si="35"/>
        <v>0</v>
      </c>
      <c r="AE129" s="270">
        <f t="shared" si="35"/>
        <v>0</v>
      </c>
      <c r="AF129" s="270">
        <f t="shared" si="35"/>
        <v>0</v>
      </c>
      <c r="AG129" s="270">
        <f t="shared" si="35"/>
        <v>0</v>
      </c>
      <c r="AH129" s="270">
        <f t="shared" si="35"/>
        <v>0</v>
      </c>
      <c r="AI129" s="270">
        <f t="shared" si="35"/>
        <v>0</v>
      </c>
      <c r="AJ129" s="270">
        <f t="shared" si="35"/>
        <v>0</v>
      </c>
    </row>
    <row r="130" spans="2:36" s="29" customFormat="1" ht="16">
      <c r="B130" s="259" t="s">
        <v>125</v>
      </c>
      <c r="C130" s="259"/>
      <c r="D130" s="259"/>
      <c r="E130" s="269">
        <f t="shared" si="32"/>
        <v>0</v>
      </c>
      <c r="F130" s="268"/>
      <c r="G130" s="270">
        <f t="shared" ref="G130:AJ130" si="36">$E113*G113</f>
        <v>0</v>
      </c>
      <c r="H130" s="270">
        <f t="shared" si="36"/>
        <v>0</v>
      </c>
      <c r="I130" s="270">
        <f t="shared" si="36"/>
        <v>0</v>
      </c>
      <c r="J130" s="270">
        <f t="shared" si="36"/>
        <v>0</v>
      </c>
      <c r="K130" s="270">
        <f t="shared" si="36"/>
        <v>0</v>
      </c>
      <c r="L130" s="270">
        <f t="shared" si="36"/>
        <v>0</v>
      </c>
      <c r="M130" s="270">
        <f t="shared" si="36"/>
        <v>0</v>
      </c>
      <c r="N130" s="270">
        <f t="shared" si="36"/>
        <v>0</v>
      </c>
      <c r="O130" s="270">
        <f t="shared" si="36"/>
        <v>0</v>
      </c>
      <c r="P130" s="270">
        <f t="shared" si="36"/>
        <v>0</v>
      </c>
      <c r="Q130" s="270">
        <f t="shared" si="36"/>
        <v>0</v>
      </c>
      <c r="R130" s="270">
        <f t="shared" si="36"/>
        <v>0</v>
      </c>
      <c r="S130" s="270">
        <f t="shared" si="36"/>
        <v>0</v>
      </c>
      <c r="T130" s="270">
        <f t="shared" si="36"/>
        <v>0</v>
      </c>
      <c r="U130" s="270">
        <f t="shared" si="36"/>
        <v>0</v>
      </c>
      <c r="V130" s="270">
        <f t="shared" si="36"/>
        <v>0</v>
      </c>
      <c r="W130" s="270">
        <f t="shared" si="36"/>
        <v>0</v>
      </c>
      <c r="X130" s="270">
        <f t="shared" si="36"/>
        <v>0</v>
      </c>
      <c r="Y130" s="270">
        <f t="shared" si="36"/>
        <v>0</v>
      </c>
      <c r="Z130" s="270">
        <f t="shared" si="36"/>
        <v>0</v>
      </c>
      <c r="AA130" s="270">
        <f t="shared" si="36"/>
        <v>0</v>
      </c>
      <c r="AB130" s="270">
        <f t="shared" si="36"/>
        <v>0</v>
      </c>
      <c r="AC130" s="270">
        <f t="shared" si="36"/>
        <v>0</v>
      </c>
      <c r="AD130" s="270">
        <f t="shared" si="36"/>
        <v>0</v>
      </c>
      <c r="AE130" s="270">
        <f t="shared" si="36"/>
        <v>0</v>
      </c>
      <c r="AF130" s="270">
        <f t="shared" si="36"/>
        <v>0</v>
      </c>
      <c r="AG130" s="270">
        <f t="shared" si="36"/>
        <v>0</v>
      </c>
      <c r="AH130" s="270">
        <f t="shared" si="36"/>
        <v>0</v>
      </c>
      <c r="AI130" s="270">
        <f t="shared" si="36"/>
        <v>0</v>
      </c>
      <c r="AJ130" s="270">
        <f t="shared" si="36"/>
        <v>0</v>
      </c>
    </row>
    <row r="131" spans="2:36" s="29" customFormat="1" ht="16">
      <c r="B131" s="259" t="s">
        <v>126</v>
      </c>
      <c r="C131" s="259"/>
      <c r="D131" s="259"/>
      <c r="E131" s="269">
        <f t="shared" si="32"/>
        <v>0</v>
      </c>
      <c r="F131" s="268"/>
      <c r="G131" s="270">
        <f t="shared" ref="G131:AJ131" si="37">$E114*G114</f>
        <v>0</v>
      </c>
      <c r="H131" s="270">
        <f t="shared" si="37"/>
        <v>0</v>
      </c>
      <c r="I131" s="270">
        <f t="shared" si="37"/>
        <v>0</v>
      </c>
      <c r="J131" s="270">
        <f t="shared" si="37"/>
        <v>0</v>
      </c>
      <c r="K131" s="270">
        <f t="shared" si="37"/>
        <v>0</v>
      </c>
      <c r="L131" s="270">
        <f t="shared" si="37"/>
        <v>0</v>
      </c>
      <c r="M131" s="270">
        <f t="shared" si="37"/>
        <v>0</v>
      </c>
      <c r="N131" s="270">
        <f t="shared" si="37"/>
        <v>0</v>
      </c>
      <c r="O131" s="270">
        <f t="shared" si="37"/>
        <v>0</v>
      </c>
      <c r="P131" s="270">
        <f t="shared" si="37"/>
        <v>0</v>
      </c>
      <c r="Q131" s="270">
        <f t="shared" si="37"/>
        <v>0</v>
      </c>
      <c r="R131" s="270">
        <f t="shared" si="37"/>
        <v>0</v>
      </c>
      <c r="S131" s="270">
        <f t="shared" si="37"/>
        <v>0</v>
      </c>
      <c r="T131" s="270">
        <f t="shared" si="37"/>
        <v>0</v>
      </c>
      <c r="U131" s="270">
        <f t="shared" si="37"/>
        <v>0</v>
      </c>
      <c r="V131" s="270">
        <f t="shared" si="37"/>
        <v>0</v>
      </c>
      <c r="W131" s="270">
        <f t="shared" si="37"/>
        <v>0</v>
      </c>
      <c r="X131" s="270">
        <f t="shared" si="37"/>
        <v>0</v>
      </c>
      <c r="Y131" s="270">
        <f t="shared" si="37"/>
        <v>0</v>
      </c>
      <c r="Z131" s="270">
        <f t="shared" si="37"/>
        <v>0</v>
      </c>
      <c r="AA131" s="270">
        <f t="shared" si="37"/>
        <v>0</v>
      </c>
      <c r="AB131" s="270">
        <f t="shared" si="37"/>
        <v>0</v>
      </c>
      <c r="AC131" s="270">
        <f t="shared" si="37"/>
        <v>0</v>
      </c>
      <c r="AD131" s="270">
        <f t="shared" si="37"/>
        <v>0</v>
      </c>
      <c r="AE131" s="270">
        <f t="shared" si="37"/>
        <v>0</v>
      </c>
      <c r="AF131" s="270">
        <f t="shared" si="37"/>
        <v>0</v>
      </c>
      <c r="AG131" s="270">
        <f t="shared" si="37"/>
        <v>0</v>
      </c>
      <c r="AH131" s="270">
        <f t="shared" si="37"/>
        <v>0</v>
      </c>
      <c r="AI131" s="270">
        <f t="shared" si="37"/>
        <v>0</v>
      </c>
      <c r="AJ131" s="270">
        <f t="shared" si="37"/>
        <v>0</v>
      </c>
    </row>
    <row r="132" spans="2:36" s="29" customFormat="1" ht="16">
      <c r="B132" s="259" t="s">
        <v>76</v>
      </c>
      <c r="C132" s="259"/>
      <c r="D132" s="259"/>
      <c r="E132" s="269">
        <f t="shared" si="32"/>
        <v>148929.125</v>
      </c>
      <c r="F132" s="268"/>
      <c r="G132" s="270">
        <f t="shared" ref="G132:AJ132" si="38">$E115*G115</f>
        <v>3723.2281250000001</v>
      </c>
      <c r="H132" s="270">
        <f t="shared" si="38"/>
        <v>7446.4562500000002</v>
      </c>
      <c r="I132" s="270">
        <f t="shared" si="38"/>
        <v>7446.4562500000002</v>
      </c>
      <c r="J132" s="270">
        <f t="shared" si="38"/>
        <v>7446.4562500000002</v>
      </c>
      <c r="K132" s="270">
        <f t="shared" si="38"/>
        <v>7446.4562500000002</v>
      </c>
      <c r="L132" s="270">
        <f t="shared" si="38"/>
        <v>7446.4562500000002</v>
      </c>
      <c r="M132" s="270">
        <f t="shared" si="38"/>
        <v>7446.4562500000002</v>
      </c>
      <c r="N132" s="270">
        <f t="shared" si="38"/>
        <v>7446.4562500000002</v>
      </c>
      <c r="O132" s="270">
        <f t="shared" si="38"/>
        <v>7446.4562500000002</v>
      </c>
      <c r="P132" s="270">
        <f t="shared" si="38"/>
        <v>7446.4562500000002</v>
      </c>
      <c r="Q132" s="270">
        <f t="shared" si="38"/>
        <v>7446.4562500000002</v>
      </c>
      <c r="R132" s="270">
        <f t="shared" si="38"/>
        <v>7446.4562500000002</v>
      </c>
      <c r="S132" s="270">
        <f t="shared" si="38"/>
        <v>7446.4562500000002</v>
      </c>
      <c r="T132" s="270">
        <f t="shared" si="38"/>
        <v>7446.4562500000002</v>
      </c>
      <c r="U132" s="270">
        <f t="shared" si="38"/>
        <v>7446.4562500000002</v>
      </c>
      <c r="V132" s="270">
        <f t="shared" si="38"/>
        <v>7446.4562500000002</v>
      </c>
      <c r="W132" s="270">
        <f t="shared" si="38"/>
        <v>7446.4562500000002</v>
      </c>
      <c r="X132" s="270">
        <f t="shared" si="38"/>
        <v>7446.4562500000002</v>
      </c>
      <c r="Y132" s="270">
        <f t="shared" si="38"/>
        <v>7446.4562500000002</v>
      </c>
      <c r="Z132" s="270">
        <f t="shared" si="38"/>
        <v>7446.4562500000002</v>
      </c>
      <c r="AA132" s="270">
        <f t="shared" si="38"/>
        <v>3723.2281250000001</v>
      </c>
      <c r="AB132" s="270">
        <f t="shared" si="38"/>
        <v>0</v>
      </c>
      <c r="AC132" s="270">
        <f t="shared" si="38"/>
        <v>0</v>
      </c>
      <c r="AD132" s="270">
        <f t="shared" si="38"/>
        <v>0</v>
      </c>
      <c r="AE132" s="270">
        <f t="shared" si="38"/>
        <v>0</v>
      </c>
      <c r="AF132" s="270">
        <f t="shared" si="38"/>
        <v>0</v>
      </c>
      <c r="AG132" s="270">
        <f t="shared" si="38"/>
        <v>0</v>
      </c>
      <c r="AH132" s="270">
        <f t="shared" si="38"/>
        <v>0</v>
      </c>
      <c r="AI132" s="270">
        <f t="shared" si="38"/>
        <v>0</v>
      </c>
      <c r="AJ132" s="270">
        <f t="shared" si="38"/>
        <v>0</v>
      </c>
    </row>
    <row r="133" spans="2:36" s="29" customFormat="1" ht="16">
      <c r="B133" s="259" t="s">
        <v>77</v>
      </c>
      <c r="C133" s="259"/>
      <c r="D133" s="259"/>
      <c r="E133" s="269">
        <f t="shared" si="32"/>
        <v>0</v>
      </c>
      <c r="F133" s="269"/>
      <c r="G133" s="270">
        <f t="shared" ref="G133:AJ133" si="39">$E116*G116</f>
        <v>0</v>
      </c>
      <c r="H133" s="270">
        <f t="shared" si="39"/>
        <v>0</v>
      </c>
      <c r="I133" s="270">
        <f t="shared" si="39"/>
        <v>0</v>
      </c>
      <c r="J133" s="270">
        <f t="shared" si="39"/>
        <v>0</v>
      </c>
      <c r="K133" s="270">
        <f t="shared" si="39"/>
        <v>0</v>
      </c>
      <c r="L133" s="270">
        <f t="shared" si="39"/>
        <v>0</v>
      </c>
      <c r="M133" s="270">
        <f t="shared" si="39"/>
        <v>0</v>
      </c>
      <c r="N133" s="270">
        <f t="shared" si="39"/>
        <v>0</v>
      </c>
      <c r="O133" s="270">
        <f t="shared" si="39"/>
        <v>0</v>
      </c>
      <c r="P133" s="270">
        <f t="shared" si="39"/>
        <v>0</v>
      </c>
      <c r="Q133" s="270">
        <f t="shared" si="39"/>
        <v>0</v>
      </c>
      <c r="R133" s="270">
        <f t="shared" si="39"/>
        <v>0</v>
      </c>
      <c r="S133" s="270">
        <f t="shared" si="39"/>
        <v>0</v>
      </c>
      <c r="T133" s="270">
        <f t="shared" si="39"/>
        <v>0</v>
      </c>
      <c r="U133" s="270">
        <f t="shared" si="39"/>
        <v>0</v>
      </c>
      <c r="V133" s="270">
        <f t="shared" si="39"/>
        <v>0</v>
      </c>
      <c r="W133" s="270">
        <f t="shared" si="39"/>
        <v>0</v>
      </c>
      <c r="X133" s="270">
        <f t="shared" si="39"/>
        <v>0</v>
      </c>
      <c r="Y133" s="270">
        <f t="shared" si="39"/>
        <v>0</v>
      </c>
      <c r="Z133" s="270">
        <f t="shared" si="39"/>
        <v>0</v>
      </c>
      <c r="AA133" s="270">
        <f t="shared" si="39"/>
        <v>0</v>
      </c>
      <c r="AB133" s="270">
        <f t="shared" si="39"/>
        <v>0</v>
      </c>
      <c r="AC133" s="270">
        <f t="shared" si="39"/>
        <v>0</v>
      </c>
      <c r="AD133" s="270">
        <f t="shared" si="39"/>
        <v>0</v>
      </c>
      <c r="AE133" s="270">
        <f t="shared" si="39"/>
        <v>0</v>
      </c>
      <c r="AF133" s="270">
        <f t="shared" si="39"/>
        <v>0</v>
      </c>
      <c r="AG133" s="270">
        <f t="shared" si="39"/>
        <v>0</v>
      </c>
      <c r="AH133" s="270">
        <f t="shared" si="39"/>
        <v>0</v>
      </c>
      <c r="AI133" s="270">
        <f t="shared" si="39"/>
        <v>0</v>
      </c>
      <c r="AJ133" s="270">
        <f t="shared" si="39"/>
        <v>0</v>
      </c>
    </row>
    <row r="134" spans="2:36" s="29" customFormat="1" ht="16">
      <c r="B134" s="259" t="s">
        <v>327</v>
      </c>
      <c r="C134" s="259"/>
      <c r="D134" s="259"/>
      <c r="E134" s="269">
        <f t="shared" si="32"/>
        <v>0</v>
      </c>
      <c r="F134" s="269"/>
      <c r="G134" s="270">
        <f t="shared" ref="G134:AJ134" si="40">$E117*G117</f>
        <v>0</v>
      </c>
      <c r="H134" s="270">
        <f t="shared" si="40"/>
        <v>0</v>
      </c>
      <c r="I134" s="270">
        <f t="shared" si="40"/>
        <v>0</v>
      </c>
      <c r="J134" s="270">
        <f t="shared" si="40"/>
        <v>0</v>
      </c>
      <c r="K134" s="270">
        <f t="shared" si="40"/>
        <v>0</v>
      </c>
      <c r="L134" s="270">
        <f t="shared" si="40"/>
        <v>0</v>
      </c>
      <c r="M134" s="270">
        <f t="shared" si="40"/>
        <v>0</v>
      </c>
      <c r="N134" s="270">
        <f t="shared" si="40"/>
        <v>0</v>
      </c>
      <c r="O134" s="270">
        <f t="shared" si="40"/>
        <v>0</v>
      </c>
      <c r="P134" s="270">
        <f t="shared" si="40"/>
        <v>0</v>
      </c>
      <c r="Q134" s="270">
        <f t="shared" si="40"/>
        <v>0</v>
      </c>
      <c r="R134" s="270">
        <f t="shared" si="40"/>
        <v>0</v>
      </c>
      <c r="S134" s="270">
        <f t="shared" si="40"/>
        <v>0</v>
      </c>
      <c r="T134" s="270">
        <f t="shared" si="40"/>
        <v>0</v>
      </c>
      <c r="U134" s="270">
        <f t="shared" si="40"/>
        <v>0</v>
      </c>
      <c r="V134" s="270">
        <f t="shared" si="40"/>
        <v>0</v>
      </c>
      <c r="W134" s="270">
        <f t="shared" si="40"/>
        <v>0</v>
      </c>
      <c r="X134" s="270">
        <f t="shared" si="40"/>
        <v>0</v>
      </c>
      <c r="Y134" s="270">
        <f t="shared" si="40"/>
        <v>0</v>
      </c>
      <c r="Z134" s="270">
        <f t="shared" si="40"/>
        <v>0</v>
      </c>
      <c r="AA134" s="270">
        <f t="shared" si="40"/>
        <v>0</v>
      </c>
      <c r="AB134" s="270">
        <f t="shared" si="40"/>
        <v>0</v>
      </c>
      <c r="AC134" s="270">
        <f t="shared" si="40"/>
        <v>0</v>
      </c>
      <c r="AD134" s="270">
        <f t="shared" si="40"/>
        <v>0</v>
      </c>
      <c r="AE134" s="270">
        <f t="shared" si="40"/>
        <v>0</v>
      </c>
      <c r="AF134" s="270">
        <f t="shared" si="40"/>
        <v>0</v>
      </c>
      <c r="AG134" s="270">
        <f t="shared" si="40"/>
        <v>0</v>
      </c>
      <c r="AH134" s="270">
        <f t="shared" si="40"/>
        <v>0</v>
      </c>
      <c r="AI134" s="270">
        <f t="shared" si="40"/>
        <v>0</v>
      </c>
      <c r="AJ134" s="270">
        <f t="shared" si="40"/>
        <v>0</v>
      </c>
    </row>
    <row r="135" spans="2:36" s="29" customFormat="1" ht="16">
      <c r="B135" s="272" t="s">
        <v>23</v>
      </c>
      <c r="C135" s="272"/>
      <c r="D135" s="272"/>
      <c r="E135" s="273">
        <f>E118</f>
        <v>372322.8125</v>
      </c>
      <c r="F135" s="269"/>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row>
    <row r="136" spans="2:36" s="29" customFormat="1" ht="16">
      <c r="B136" s="274" t="s">
        <v>79</v>
      </c>
      <c r="C136" s="274"/>
      <c r="D136" s="274"/>
      <c r="E136" s="269">
        <f>SUM(E126:E135)</f>
        <v>14892912.499999998</v>
      </c>
      <c r="F136" s="275" t="str">
        <f>IF(ROUND(E136,0)=ROUND(E120,0),"OK","error")</f>
        <v>OK</v>
      </c>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row>
    <row r="137" spans="2:36" s="29" customFormat="1" ht="16">
      <c r="B137" s="274"/>
      <c r="C137" s="274"/>
      <c r="D137" s="274"/>
      <c r="E137" s="269"/>
      <c r="F137" s="275"/>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row>
    <row r="138" spans="2:36" s="29" customFormat="1" ht="16">
      <c r="B138" s="261" t="s">
        <v>149</v>
      </c>
      <c r="C138" s="261"/>
      <c r="D138" s="261"/>
      <c r="E138" s="269"/>
      <c r="F138" s="275"/>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row>
    <row r="139" spans="2:36" s="29" customFormat="1" ht="16">
      <c r="B139" s="259" t="s">
        <v>150</v>
      </c>
      <c r="C139" s="259"/>
      <c r="D139" s="259"/>
      <c r="E139" s="269">
        <f>Inputs!$Q$56*Inputs!$G$9</f>
        <v>0</v>
      </c>
      <c r="F139" s="275"/>
      <c r="G139" s="271">
        <f>IF(G$2=Inputs!$Q$55,'Cash Flow'!$E$139,0)</f>
        <v>0</v>
      </c>
      <c r="H139" s="271">
        <f>IF(H$2=Inputs!$Q$55,'Cash Flow'!$E$139,0)</f>
        <v>0</v>
      </c>
      <c r="I139" s="271">
        <f>IF(I$2=Inputs!$Q$55,'Cash Flow'!$E$139,0)</f>
        <v>0</v>
      </c>
      <c r="J139" s="271">
        <f>IF(J$2=Inputs!$Q$55,'Cash Flow'!$E$139,0)</f>
        <v>0</v>
      </c>
      <c r="K139" s="271">
        <f>IF(K$2=Inputs!$Q$55,'Cash Flow'!$E$139,0)</f>
        <v>0</v>
      </c>
      <c r="L139" s="271">
        <f>IF(L$2=Inputs!$Q$55,'Cash Flow'!$E$139,0)</f>
        <v>0</v>
      </c>
      <c r="M139" s="271">
        <f>IF(M$2=Inputs!$Q$55,'Cash Flow'!$E$139,0)</f>
        <v>0</v>
      </c>
      <c r="N139" s="271">
        <f>IF(N$2=Inputs!$Q$55,'Cash Flow'!$E$139,0)</f>
        <v>0</v>
      </c>
      <c r="O139" s="271">
        <f>IF(O$2=Inputs!$Q$55,'Cash Flow'!$E$139,0)</f>
        <v>0</v>
      </c>
      <c r="P139" s="271">
        <f>IF(P$2=Inputs!$Q$55,'Cash Flow'!$E$139,0)</f>
        <v>0</v>
      </c>
      <c r="Q139" s="271">
        <f>IF(Q$2=Inputs!$Q$55,'Cash Flow'!$E$139,0)</f>
        <v>0</v>
      </c>
      <c r="R139" s="271">
        <f>IF(R$2=Inputs!$Q$55,'Cash Flow'!$E$139,0)</f>
        <v>0</v>
      </c>
      <c r="S139" s="271">
        <f>IF(S$2=Inputs!$Q$55,'Cash Flow'!$E$139,0)</f>
        <v>0</v>
      </c>
      <c r="T139" s="271">
        <f>IF(T$2=Inputs!$Q$55,'Cash Flow'!$E$139,0)</f>
        <v>0</v>
      </c>
      <c r="U139" s="271">
        <f>IF(U$2=Inputs!$Q$55,'Cash Flow'!$E$139,0)</f>
        <v>0</v>
      </c>
      <c r="V139" s="271">
        <f>IF(V$2=Inputs!$Q$55,'Cash Flow'!$E$139,0)</f>
        <v>0</v>
      </c>
      <c r="W139" s="271">
        <f>IF(W$2=Inputs!$Q$55,'Cash Flow'!$E$139,0)</f>
        <v>0</v>
      </c>
      <c r="X139" s="271">
        <f>IF(X$2=Inputs!$Q$55,'Cash Flow'!$E$139,0)</f>
        <v>0</v>
      </c>
      <c r="Y139" s="271">
        <f>IF(Y$2=Inputs!$Q$55,'Cash Flow'!$E$139,0)</f>
        <v>0</v>
      </c>
      <c r="Z139" s="271">
        <f>IF(Z$2=Inputs!$Q$55,'Cash Flow'!$E$139,0)</f>
        <v>0</v>
      </c>
      <c r="AA139" s="271">
        <f>IF(AA$2=Inputs!$Q$55,'Cash Flow'!$E$139,0)</f>
        <v>0</v>
      </c>
      <c r="AB139" s="271">
        <f>IF(AB$2=Inputs!$Q$55,'Cash Flow'!$E$139,0)</f>
        <v>0</v>
      </c>
      <c r="AC139" s="271">
        <f>IF(AC$2=Inputs!$Q$55,'Cash Flow'!$E$139,0)</f>
        <v>0</v>
      </c>
      <c r="AD139" s="271">
        <f>IF(AD$2=Inputs!$Q$55,'Cash Flow'!$E$139,0)</f>
        <v>0</v>
      </c>
      <c r="AE139" s="271">
        <f>IF(AE$2=Inputs!$Q$55,'Cash Flow'!$E$139,0)</f>
        <v>0</v>
      </c>
      <c r="AF139" s="271">
        <f>IF(AF$2=Inputs!$Q$55,'Cash Flow'!$E$139,0)</f>
        <v>0</v>
      </c>
      <c r="AG139" s="271">
        <f>IF(AG$2=Inputs!$Q$55,'Cash Flow'!$E$139,0)</f>
        <v>0</v>
      </c>
      <c r="AH139" s="271">
        <f>IF(AH$2=Inputs!$Q$55,'Cash Flow'!$E$139,0)</f>
        <v>0</v>
      </c>
      <c r="AI139" s="271">
        <f>IF(AI$2=Inputs!$Q$55,'Cash Flow'!$E$139,0)</f>
        <v>0</v>
      </c>
      <c r="AJ139" s="271">
        <f>IF(AJ$2=Inputs!$Q$55,'Cash Flow'!$E$139,0)</f>
        <v>0</v>
      </c>
    </row>
    <row r="140" spans="2:36" s="29" customFormat="1" ht="16">
      <c r="B140" s="259" t="s">
        <v>152</v>
      </c>
      <c r="C140" s="259"/>
      <c r="D140" s="259"/>
      <c r="E140" s="269"/>
      <c r="F140" s="275"/>
      <c r="G140" s="276">
        <f>IF(G139&gt;0,1,IF(F140&gt;0,F140+1,0))</f>
        <v>0</v>
      </c>
      <c r="H140" s="276">
        <f t="shared" ref="H140:AJ140" si="41">IF(H139&gt;0,1,IF(G140&gt;0,G140+1,0))</f>
        <v>0</v>
      </c>
      <c r="I140" s="276">
        <f t="shared" si="41"/>
        <v>0</v>
      </c>
      <c r="J140" s="276">
        <f t="shared" si="41"/>
        <v>0</v>
      </c>
      <c r="K140" s="276">
        <f t="shared" si="41"/>
        <v>0</v>
      </c>
      <c r="L140" s="276">
        <f t="shared" si="41"/>
        <v>0</v>
      </c>
      <c r="M140" s="276">
        <f t="shared" si="41"/>
        <v>0</v>
      </c>
      <c r="N140" s="276">
        <f t="shared" si="41"/>
        <v>0</v>
      </c>
      <c r="O140" s="276">
        <f t="shared" si="41"/>
        <v>0</v>
      </c>
      <c r="P140" s="276">
        <f t="shared" si="41"/>
        <v>0</v>
      </c>
      <c r="Q140" s="276">
        <f t="shared" si="41"/>
        <v>0</v>
      </c>
      <c r="R140" s="276">
        <f t="shared" si="41"/>
        <v>0</v>
      </c>
      <c r="S140" s="276">
        <f t="shared" si="41"/>
        <v>0</v>
      </c>
      <c r="T140" s="276">
        <f t="shared" si="41"/>
        <v>0</v>
      </c>
      <c r="U140" s="276">
        <f t="shared" si="41"/>
        <v>0</v>
      </c>
      <c r="V140" s="276">
        <f t="shared" si="41"/>
        <v>0</v>
      </c>
      <c r="W140" s="276">
        <f t="shared" si="41"/>
        <v>0</v>
      </c>
      <c r="X140" s="276">
        <f t="shared" si="41"/>
        <v>0</v>
      </c>
      <c r="Y140" s="276">
        <f t="shared" si="41"/>
        <v>0</v>
      </c>
      <c r="Z140" s="276">
        <f t="shared" si="41"/>
        <v>0</v>
      </c>
      <c r="AA140" s="276">
        <f t="shared" si="41"/>
        <v>0</v>
      </c>
      <c r="AB140" s="276">
        <f t="shared" si="41"/>
        <v>0</v>
      </c>
      <c r="AC140" s="276">
        <f t="shared" si="41"/>
        <v>0</v>
      </c>
      <c r="AD140" s="276">
        <f t="shared" si="41"/>
        <v>0</v>
      </c>
      <c r="AE140" s="276">
        <f t="shared" si="41"/>
        <v>0</v>
      </c>
      <c r="AF140" s="276">
        <f t="shared" si="41"/>
        <v>0</v>
      </c>
      <c r="AG140" s="276">
        <f t="shared" si="41"/>
        <v>0</v>
      </c>
      <c r="AH140" s="276">
        <f t="shared" si="41"/>
        <v>0</v>
      </c>
      <c r="AI140" s="276">
        <f t="shared" si="41"/>
        <v>0</v>
      </c>
      <c r="AJ140" s="276">
        <f t="shared" si="41"/>
        <v>0</v>
      </c>
    </row>
    <row r="141" spans="2:36" s="29" customFormat="1" ht="16">
      <c r="B141" s="272" t="s">
        <v>153</v>
      </c>
      <c r="C141" s="272"/>
      <c r="D141" s="272"/>
      <c r="E141" s="273"/>
      <c r="F141" s="275"/>
      <c r="G141" s="271">
        <f t="shared" ref="G141:AJ141" si="42">IF(G140=0,0,$E$139*LOOKUP(G140,$G$107:$AJ$107,$G$109:$AJ$109))</f>
        <v>0</v>
      </c>
      <c r="H141" s="271">
        <f t="shared" si="42"/>
        <v>0</v>
      </c>
      <c r="I141" s="271">
        <f t="shared" si="42"/>
        <v>0</v>
      </c>
      <c r="J141" s="271">
        <f t="shared" si="42"/>
        <v>0</v>
      </c>
      <c r="K141" s="271">
        <f t="shared" si="42"/>
        <v>0</v>
      </c>
      <c r="L141" s="271">
        <f t="shared" si="42"/>
        <v>0</v>
      </c>
      <c r="M141" s="271">
        <f t="shared" si="42"/>
        <v>0</v>
      </c>
      <c r="N141" s="271">
        <f t="shared" si="42"/>
        <v>0</v>
      </c>
      <c r="O141" s="271">
        <f t="shared" si="42"/>
        <v>0</v>
      </c>
      <c r="P141" s="271">
        <f t="shared" si="42"/>
        <v>0</v>
      </c>
      <c r="Q141" s="271">
        <f t="shared" si="42"/>
        <v>0</v>
      </c>
      <c r="R141" s="271">
        <f t="shared" si="42"/>
        <v>0</v>
      </c>
      <c r="S141" s="271">
        <f t="shared" si="42"/>
        <v>0</v>
      </c>
      <c r="T141" s="271">
        <f t="shared" si="42"/>
        <v>0</v>
      </c>
      <c r="U141" s="271">
        <f t="shared" si="42"/>
        <v>0</v>
      </c>
      <c r="V141" s="271">
        <f t="shared" si="42"/>
        <v>0</v>
      </c>
      <c r="W141" s="271">
        <f t="shared" si="42"/>
        <v>0</v>
      </c>
      <c r="X141" s="271">
        <f t="shared" si="42"/>
        <v>0</v>
      </c>
      <c r="Y141" s="271">
        <f t="shared" si="42"/>
        <v>0</v>
      </c>
      <c r="Z141" s="271">
        <f t="shared" si="42"/>
        <v>0</v>
      </c>
      <c r="AA141" s="271">
        <f t="shared" si="42"/>
        <v>0</v>
      </c>
      <c r="AB141" s="271">
        <f t="shared" si="42"/>
        <v>0</v>
      </c>
      <c r="AC141" s="271">
        <f t="shared" si="42"/>
        <v>0</v>
      </c>
      <c r="AD141" s="271">
        <f t="shared" si="42"/>
        <v>0</v>
      </c>
      <c r="AE141" s="271">
        <f t="shared" si="42"/>
        <v>0</v>
      </c>
      <c r="AF141" s="271">
        <f t="shared" si="42"/>
        <v>0</v>
      </c>
      <c r="AG141" s="271">
        <f t="shared" si="42"/>
        <v>0</v>
      </c>
      <c r="AH141" s="271">
        <f t="shared" si="42"/>
        <v>0</v>
      </c>
      <c r="AI141" s="271">
        <f t="shared" si="42"/>
        <v>0</v>
      </c>
      <c r="AJ141" s="271">
        <f t="shared" si="42"/>
        <v>0</v>
      </c>
    </row>
    <row r="142" spans="2:36" s="29" customFormat="1" ht="16">
      <c r="B142" s="259" t="s">
        <v>151</v>
      </c>
      <c r="C142" s="259"/>
      <c r="D142" s="259"/>
      <c r="E142" s="269">
        <f>Inputs!$Q$58*Inputs!$G$9</f>
        <v>0</v>
      </c>
      <c r="F142" s="275"/>
      <c r="G142" s="271">
        <f>IF(G$2=Inputs!$Q$57,'Cash Flow'!$E$142,0)</f>
        <v>0</v>
      </c>
      <c r="H142" s="271">
        <f>IF(H$2=Inputs!$Q$57,'Cash Flow'!$E$142,0)</f>
        <v>0</v>
      </c>
      <c r="I142" s="271">
        <f>IF(I$2=Inputs!$Q$57,'Cash Flow'!$E$142,0)</f>
        <v>0</v>
      </c>
      <c r="J142" s="271">
        <f>IF(J$2=Inputs!$Q$57,'Cash Flow'!$E$142,0)</f>
        <v>0</v>
      </c>
      <c r="K142" s="271">
        <f>IF(K$2=Inputs!$Q$57,'Cash Flow'!$E$142,0)</f>
        <v>0</v>
      </c>
      <c r="L142" s="271">
        <f>IF(L$2=Inputs!$Q$57,'Cash Flow'!$E$142,0)</f>
        <v>0</v>
      </c>
      <c r="M142" s="271">
        <f>IF(M$2=Inputs!$Q$57,'Cash Flow'!$E$142,0)</f>
        <v>0</v>
      </c>
      <c r="N142" s="271">
        <f>IF(N$2=Inputs!$Q$57,'Cash Flow'!$E$142,0)</f>
        <v>0</v>
      </c>
      <c r="O142" s="271">
        <f>IF(O$2=Inputs!$Q$57,'Cash Flow'!$E$142,0)</f>
        <v>0</v>
      </c>
      <c r="P142" s="271">
        <f>IF(P$2=Inputs!$Q$57,'Cash Flow'!$E$142,0)</f>
        <v>0</v>
      </c>
      <c r="Q142" s="271">
        <f>IF(Q$2=Inputs!$Q$57,'Cash Flow'!$E$142,0)</f>
        <v>0</v>
      </c>
      <c r="R142" s="271">
        <f>IF(R$2=Inputs!$Q$57,'Cash Flow'!$E$142,0)</f>
        <v>0</v>
      </c>
      <c r="S142" s="271">
        <f>IF(S$2=Inputs!$Q$57,'Cash Flow'!$E$142,0)</f>
        <v>0</v>
      </c>
      <c r="T142" s="271">
        <f>IF(T$2=Inputs!$Q$57,'Cash Flow'!$E$142,0)</f>
        <v>0</v>
      </c>
      <c r="U142" s="271">
        <f>IF(U$2=Inputs!$Q$57,'Cash Flow'!$E$142,0)</f>
        <v>0</v>
      </c>
      <c r="V142" s="271">
        <f>IF(V$2=Inputs!$Q$57,'Cash Flow'!$E$142,0)</f>
        <v>0</v>
      </c>
      <c r="W142" s="271">
        <f>IF(W$2=Inputs!$Q$57,'Cash Flow'!$E$142,0)</f>
        <v>0</v>
      </c>
      <c r="X142" s="271">
        <f>IF(X$2=Inputs!$Q$57,'Cash Flow'!$E$142,0)</f>
        <v>0</v>
      </c>
      <c r="Y142" s="271">
        <f>IF(Y$2=Inputs!$Q$57,'Cash Flow'!$E$142,0)</f>
        <v>0</v>
      </c>
      <c r="Z142" s="271">
        <f>IF(Z$2=Inputs!$Q$57,'Cash Flow'!$E$142,0)</f>
        <v>0</v>
      </c>
      <c r="AA142" s="271">
        <f>IF(AA$2=Inputs!$Q$57,'Cash Flow'!$E$142,0)</f>
        <v>0</v>
      </c>
      <c r="AB142" s="271">
        <f>IF(AB$2=Inputs!$Q$57,'Cash Flow'!$E$142,0)</f>
        <v>0</v>
      </c>
      <c r="AC142" s="271">
        <f>IF(AC$2=Inputs!$Q$57,'Cash Flow'!$E$142,0)</f>
        <v>0</v>
      </c>
      <c r="AD142" s="271">
        <f>IF(AD$2=Inputs!$Q$57,'Cash Flow'!$E$142,0)</f>
        <v>0</v>
      </c>
      <c r="AE142" s="271">
        <f>IF(AE$2=Inputs!$Q$57,'Cash Flow'!$E$142,0)</f>
        <v>0</v>
      </c>
      <c r="AF142" s="271">
        <f>IF(AF$2=Inputs!$Q$57,'Cash Flow'!$E$142,0)</f>
        <v>0</v>
      </c>
      <c r="AG142" s="271">
        <f>IF(AG$2=Inputs!$Q$57,'Cash Flow'!$E$142,0)</f>
        <v>0</v>
      </c>
      <c r="AH142" s="271">
        <f>IF(AH$2=Inputs!$Q$57,'Cash Flow'!$E$142,0)</f>
        <v>0</v>
      </c>
      <c r="AI142" s="271">
        <f>IF(AI$2=Inputs!$Q$57,'Cash Flow'!$E$142,0)</f>
        <v>0</v>
      </c>
      <c r="AJ142" s="271">
        <f>IF(AJ$2=Inputs!$Q$57,'Cash Flow'!$E$142,0)</f>
        <v>0</v>
      </c>
    </row>
    <row r="143" spans="2:36" s="29" customFormat="1" ht="16">
      <c r="B143" s="259" t="s">
        <v>152</v>
      </c>
      <c r="C143" s="259"/>
      <c r="D143" s="259"/>
      <c r="E143" s="269"/>
      <c r="F143" s="275"/>
      <c r="G143" s="276">
        <f t="shared" ref="G143:AJ143" si="43">IF(G142&gt;0,1,IF(F143&gt;0,F143+1,0))</f>
        <v>0</v>
      </c>
      <c r="H143" s="276">
        <f t="shared" si="43"/>
        <v>0</v>
      </c>
      <c r="I143" s="276">
        <f t="shared" si="43"/>
        <v>0</v>
      </c>
      <c r="J143" s="276">
        <f t="shared" si="43"/>
        <v>0</v>
      </c>
      <c r="K143" s="276">
        <f t="shared" si="43"/>
        <v>0</v>
      </c>
      <c r="L143" s="276">
        <f t="shared" si="43"/>
        <v>0</v>
      </c>
      <c r="M143" s="276">
        <f t="shared" si="43"/>
        <v>0</v>
      </c>
      <c r="N143" s="276">
        <f t="shared" si="43"/>
        <v>0</v>
      </c>
      <c r="O143" s="276">
        <f t="shared" si="43"/>
        <v>0</v>
      </c>
      <c r="P143" s="276">
        <f t="shared" si="43"/>
        <v>0</v>
      </c>
      <c r="Q143" s="276">
        <f t="shared" si="43"/>
        <v>0</v>
      </c>
      <c r="R143" s="276">
        <f t="shared" si="43"/>
        <v>0</v>
      </c>
      <c r="S143" s="276">
        <f t="shared" si="43"/>
        <v>0</v>
      </c>
      <c r="T143" s="276">
        <f t="shared" si="43"/>
        <v>0</v>
      </c>
      <c r="U143" s="276">
        <f t="shared" si="43"/>
        <v>0</v>
      </c>
      <c r="V143" s="276">
        <f t="shared" si="43"/>
        <v>0</v>
      </c>
      <c r="W143" s="276">
        <f t="shared" si="43"/>
        <v>0</v>
      </c>
      <c r="X143" s="276">
        <f t="shared" si="43"/>
        <v>0</v>
      </c>
      <c r="Y143" s="276">
        <f t="shared" si="43"/>
        <v>0</v>
      </c>
      <c r="Z143" s="276">
        <f t="shared" si="43"/>
        <v>0</v>
      </c>
      <c r="AA143" s="276">
        <f t="shared" si="43"/>
        <v>0</v>
      </c>
      <c r="AB143" s="276">
        <f t="shared" si="43"/>
        <v>0</v>
      </c>
      <c r="AC143" s="276">
        <f t="shared" si="43"/>
        <v>0</v>
      </c>
      <c r="AD143" s="276">
        <f t="shared" si="43"/>
        <v>0</v>
      </c>
      <c r="AE143" s="276">
        <f t="shared" si="43"/>
        <v>0</v>
      </c>
      <c r="AF143" s="276">
        <f t="shared" si="43"/>
        <v>0</v>
      </c>
      <c r="AG143" s="276">
        <f t="shared" si="43"/>
        <v>0</v>
      </c>
      <c r="AH143" s="276">
        <f t="shared" si="43"/>
        <v>0</v>
      </c>
      <c r="AI143" s="276">
        <f t="shared" si="43"/>
        <v>0</v>
      </c>
      <c r="AJ143" s="276">
        <f t="shared" si="43"/>
        <v>0</v>
      </c>
    </row>
    <row r="144" spans="2:36" s="29" customFormat="1" ht="16">
      <c r="B144" s="272" t="s">
        <v>153</v>
      </c>
      <c r="C144" s="272"/>
      <c r="D144" s="272"/>
      <c r="E144" s="273"/>
      <c r="F144" s="275"/>
      <c r="G144" s="271">
        <f t="shared" ref="G144:AJ144" si="44">IF(G143=0,0,$E$142*LOOKUP(G143,$G$107:$AJ$107,$G$109:$AJ$109))</f>
        <v>0</v>
      </c>
      <c r="H144" s="271">
        <f t="shared" si="44"/>
        <v>0</v>
      </c>
      <c r="I144" s="271">
        <f t="shared" si="44"/>
        <v>0</v>
      </c>
      <c r="J144" s="271">
        <f t="shared" si="44"/>
        <v>0</v>
      </c>
      <c r="K144" s="271">
        <f t="shared" si="44"/>
        <v>0</v>
      </c>
      <c r="L144" s="271">
        <f t="shared" si="44"/>
        <v>0</v>
      </c>
      <c r="M144" s="271">
        <f t="shared" si="44"/>
        <v>0</v>
      </c>
      <c r="N144" s="271">
        <f t="shared" si="44"/>
        <v>0</v>
      </c>
      <c r="O144" s="271">
        <f t="shared" si="44"/>
        <v>0</v>
      </c>
      <c r="P144" s="271">
        <f t="shared" si="44"/>
        <v>0</v>
      </c>
      <c r="Q144" s="271">
        <f t="shared" si="44"/>
        <v>0</v>
      </c>
      <c r="R144" s="271">
        <f t="shared" si="44"/>
        <v>0</v>
      </c>
      <c r="S144" s="271">
        <f t="shared" si="44"/>
        <v>0</v>
      </c>
      <c r="T144" s="271">
        <f t="shared" si="44"/>
        <v>0</v>
      </c>
      <c r="U144" s="271">
        <f t="shared" si="44"/>
        <v>0</v>
      </c>
      <c r="V144" s="271">
        <f t="shared" si="44"/>
        <v>0</v>
      </c>
      <c r="W144" s="271">
        <f t="shared" si="44"/>
        <v>0</v>
      </c>
      <c r="X144" s="271">
        <f t="shared" si="44"/>
        <v>0</v>
      </c>
      <c r="Y144" s="271">
        <f t="shared" si="44"/>
        <v>0</v>
      </c>
      <c r="Z144" s="271">
        <f t="shared" si="44"/>
        <v>0</v>
      </c>
      <c r="AA144" s="271">
        <f t="shared" si="44"/>
        <v>0</v>
      </c>
      <c r="AB144" s="271">
        <f t="shared" si="44"/>
        <v>0</v>
      </c>
      <c r="AC144" s="271">
        <f t="shared" si="44"/>
        <v>0</v>
      </c>
      <c r="AD144" s="271">
        <f t="shared" si="44"/>
        <v>0</v>
      </c>
      <c r="AE144" s="271">
        <f t="shared" si="44"/>
        <v>0</v>
      </c>
      <c r="AF144" s="271">
        <f t="shared" si="44"/>
        <v>0</v>
      </c>
      <c r="AG144" s="271">
        <f t="shared" si="44"/>
        <v>0</v>
      </c>
      <c r="AH144" s="271">
        <f t="shared" si="44"/>
        <v>0</v>
      </c>
      <c r="AI144" s="271">
        <f t="shared" si="44"/>
        <v>0</v>
      </c>
      <c r="AJ144" s="271">
        <f t="shared" si="44"/>
        <v>0</v>
      </c>
    </row>
    <row r="145" spans="2:36" s="29" customFormat="1" ht="16">
      <c r="B145" s="259" t="s">
        <v>355</v>
      </c>
      <c r="C145" s="259"/>
      <c r="D145" s="259"/>
      <c r="E145" s="269">
        <f>Inputs!$Q$60*Inputs!$G$9</f>
        <v>0</v>
      </c>
      <c r="F145" s="275"/>
      <c r="G145" s="271">
        <f>IF(G$2=Inputs!$Q$59,'Cash Flow'!$E$145,0)</f>
        <v>0</v>
      </c>
      <c r="H145" s="271">
        <f>IF(H$2=Inputs!$Q$59,'Cash Flow'!$E$145,0)</f>
        <v>0</v>
      </c>
      <c r="I145" s="271">
        <f>IF(I$2=Inputs!$Q$59,'Cash Flow'!$E$145,0)</f>
        <v>0</v>
      </c>
      <c r="J145" s="271">
        <f>IF(J$2=Inputs!$Q$59,'Cash Flow'!$E$145,0)</f>
        <v>0</v>
      </c>
      <c r="K145" s="271">
        <f>IF(K$2=Inputs!$Q$59,'Cash Flow'!$E$145,0)</f>
        <v>0</v>
      </c>
      <c r="L145" s="271">
        <f>IF(L$2=Inputs!$Q$59,'Cash Flow'!$E$145,0)</f>
        <v>0</v>
      </c>
      <c r="M145" s="271">
        <f>IF(M$2=Inputs!$Q$59,'Cash Flow'!$E$145,0)</f>
        <v>0</v>
      </c>
      <c r="N145" s="271">
        <f>IF(N$2=Inputs!$Q$59,'Cash Flow'!$E$145,0)</f>
        <v>0</v>
      </c>
      <c r="O145" s="271">
        <f>IF(O$2=Inputs!$Q$59,'Cash Flow'!$E$145,0)</f>
        <v>0</v>
      </c>
      <c r="P145" s="271">
        <f>IF(P$2=Inputs!$Q$59,'Cash Flow'!$E$145,0)</f>
        <v>0</v>
      </c>
      <c r="Q145" s="271">
        <f>IF(Q$2=Inputs!$Q$59,'Cash Flow'!$E$145,0)</f>
        <v>0</v>
      </c>
      <c r="R145" s="271">
        <f>IF(R$2=Inputs!$Q$59,'Cash Flow'!$E$145,0)</f>
        <v>0</v>
      </c>
      <c r="S145" s="271">
        <f>IF(S$2=Inputs!$Q$59,'Cash Flow'!$E$145,0)</f>
        <v>0</v>
      </c>
      <c r="T145" s="271">
        <f>IF(T$2=Inputs!$Q$59,'Cash Flow'!$E$145,0)</f>
        <v>0</v>
      </c>
      <c r="U145" s="271">
        <f>IF(U$2=Inputs!$Q$59,'Cash Flow'!$E$145,0)</f>
        <v>0</v>
      </c>
      <c r="V145" s="271">
        <f>IF(V$2=Inputs!$Q$59,'Cash Flow'!$E$145,0)</f>
        <v>0</v>
      </c>
      <c r="W145" s="271">
        <f>IF(W$2=Inputs!$Q$59,'Cash Flow'!$E$145,0)</f>
        <v>0</v>
      </c>
      <c r="X145" s="271">
        <f>IF(X$2=Inputs!$Q$59,'Cash Flow'!$E$145,0)</f>
        <v>0</v>
      </c>
      <c r="Y145" s="271">
        <f>IF(Y$2=Inputs!$Q$59,'Cash Flow'!$E$145,0)</f>
        <v>0</v>
      </c>
      <c r="Z145" s="271">
        <f>IF(Z$2=Inputs!$Q$59,'Cash Flow'!$E$145,0)</f>
        <v>0</v>
      </c>
      <c r="AA145" s="271">
        <f>IF(AA$2=Inputs!$Q$59,'Cash Flow'!$E$145,0)</f>
        <v>0</v>
      </c>
      <c r="AB145" s="271">
        <f>IF(AB$2=Inputs!$Q$59,'Cash Flow'!$E$145,0)</f>
        <v>0</v>
      </c>
      <c r="AC145" s="271">
        <f>IF(AC$2=Inputs!$Q$59,'Cash Flow'!$E$145,0)</f>
        <v>0</v>
      </c>
      <c r="AD145" s="271">
        <f>IF(AD$2=Inputs!$Q$59,'Cash Flow'!$E$145,0)</f>
        <v>0</v>
      </c>
      <c r="AE145" s="271">
        <f>IF(AE$2=Inputs!$Q$59,'Cash Flow'!$E$145,0)</f>
        <v>0</v>
      </c>
      <c r="AF145" s="271">
        <f>IF(AF$2=Inputs!$Q$59,'Cash Flow'!$E$145,0)</f>
        <v>0</v>
      </c>
      <c r="AG145" s="271">
        <f>IF(AG$2=Inputs!$Q$59,'Cash Flow'!$E$145,0)</f>
        <v>0</v>
      </c>
      <c r="AH145" s="271">
        <f>IF(AH$2=Inputs!$Q$59,'Cash Flow'!$E$145,0)</f>
        <v>0</v>
      </c>
      <c r="AI145" s="271">
        <f>IF(AI$2=Inputs!$Q$59,'Cash Flow'!$E$145,0)</f>
        <v>0</v>
      </c>
      <c r="AJ145" s="271">
        <f>IF(AJ$2=Inputs!$Q$59,'Cash Flow'!$E$145,0)</f>
        <v>0</v>
      </c>
    </row>
    <row r="146" spans="2:36" s="29" customFormat="1" ht="16">
      <c r="B146" s="259" t="s">
        <v>152</v>
      </c>
      <c r="C146" s="259"/>
      <c r="D146" s="259"/>
      <c r="E146" s="269"/>
      <c r="F146" s="275"/>
      <c r="G146" s="276">
        <f>IF(G145&gt;0,1,IF(F146&gt;0,F146+1,0))</f>
        <v>0</v>
      </c>
      <c r="H146" s="276">
        <f t="shared" ref="H146:AJ146" si="45">IF(H145&gt;0,1,IF(G146&gt;0,G146+1,0))</f>
        <v>0</v>
      </c>
      <c r="I146" s="276">
        <f t="shared" si="45"/>
        <v>0</v>
      </c>
      <c r="J146" s="276">
        <f t="shared" si="45"/>
        <v>0</v>
      </c>
      <c r="K146" s="276">
        <f t="shared" si="45"/>
        <v>0</v>
      </c>
      <c r="L146" s="276">
        <f t="shared" si="45"/>
        <v>0</v>
      </c>
      <c r="M146" s="276">
        <f t="shared" si="45"/>
        <v>0</v>
      </c>
      <c r="N146" s="276">
        <f t="shared" si="45"/>
        <v>0</v>
      </c>
      <c r="O146" s="276">
        <f t="shared" si="45"/>
        <v>0</v>
      </c>
      <c r="P146" s="276">
        <f t="shared" si="45"/>
        <v>0</v>
      </c>
      <c r="Q146" s="276">
        <f t="shared" si="45"/>
        <v>0</v>
      </c>
      <c r="R146" s="276">
        <f t="shared" si="45"/>
        <v>0</v>
      </c>
      <c r="S146" s="276">
        <f t="shared" si="45"/>
        <v>0</v>
      </c>
      <c r="T146" s="276">
        <f t="shared" si="45"/>
        <v>0</v>
      </c>
      <c r="U146" s="276">
        <f t="shared" si="45"/>
        <v>0</v>
      </c>
      <c r="V146" s="276">
        <f t="shared" si="45"/>
        <v>0</v>
      </c>
      <c r="W146" s="276">
        <f t="shared" si="45"/>
        <v>0</v>
      </c>
      <c r="X146" s="276">
        <f t="shared" si="45"/>
        <v>0</v>
      </c>
      <c r="Y146" s="276">
        <f t="shared" si="45"/>
        <v>0</v>
      </c>
      <c r="Z146" s="276">
        <f t="shared" si="45"/>
        <v>0</v>
      </c>
      <c r="AA146" s="276">
        <f t="shared" si="45"/>
        <v>0</v>
      </c>
      <c r="AB146" s="276">
        <f t="shared" si="45"/>
        <v>0</v>
      </c>
      <c r="AC146" s="276">
        <f t="shared" si="45"/>
        <v>0</v>
      </c>
      <c r="AD146" s="276">
        <f t="shared" si="45"/>
        <v>0</v>
      </c>
      <c r="AE146" s="276">
        <f t="shared" si="45"/>
        <v>0</v>
      </c>
      <c r="AF146" s="276">
        <f t="shared" si="45"/>
        <v>0</v>
      </c>
      <c r="AG146" s="276">
        <f t="shared" si="45"/>
        <v>0</v>
      </c>
      <c r="AH146" s="276">
        <f t="shared" si="45"/>
        <v>0</v>
      </c>
      <c r="AI146" s="276">
        <f t="shared" si="45"/>
        <v>0</v>
      </c>
      <c r="AJ146" s="276">
        <f t="shared" si="45"/>
        <v>0</v>
      </c>
    </row>
    <row r="147" spans="2:36" s="29" customFormat="1" ht="16">
      <c r="B147" s="272" t="s">
        <v>153</v>
      </c>
      <c r="C147" s="272"/>
      <c r="D147" s="272"/>
      <c r="E147" s="273"/>
      <c r="F147" s="275"/>
      <c r="G147" s="271">
        <f>IF(G146=0,0,$E$145*LOOKUP(G146,$G$107:$AJ$107,$G$109:$AJ$109))</f>
        <v>0</v>
      </c>
      <c r="H147" s="271">
        <f t="shared" ref="H147:AJ147" si="46">IF(H146=0,0,$E$145*LOOKUP(H146,$G$107:$AJ$107,$G$109:$AJ$109))</f>
        <v>0</v>
      </c>
      <c r="I147" s="271">
        <f t="shared" si="46"/>
        <v>0</v>
      </c>
      <c r="J147" s="271">
        <f t="shared" si="46"/>
        <v>0</v>
      </c>
      <c r="K147" s="271">
        <f t="shared" si="46"/>
        <v>0</v>
      </c>
      <c r="L147" s="271">
        <f t="shared" si="46"/>
        <v>0</v>
      </c>
      <c r="M147" s="271">
        <f t="shared" si="46"/>
        <v>0</v>
      </c>
      <c r="N147" s="271">
        <f t="shared" si="46"/>
        <v>0</v>
      </c>
      <c r="O147" s="271">
        <f t="shared" si="46"/>
        <v>0</v>
      </c>
      <c r="P147" s="271">
        <f t="shared" si="46"/>
        <v>0</v>
      </c>
      <c r="Q147" s="271">
        <f t="shared" si="46"/>
        <v>0</v>
      </c>
      <c r="R147" s="271">
        <f t="shared" si="46"/>
        <v>0</v>
      </c>
      <c r="S147" s="271">
        <f t="shared" si="46"/>
        <v>0</v>
      </c>
      <c r="T147" s="271">
        <f t="shared" si="46"/>
        <v>0</v>
      </c>
      <c r="U147" s="271">
        <f t="shared" si="46"/>
        <v>0</v>
      </c>
      <c r="V147" s="271">
        <f t="shared" si="46"/>
        <v>0</v>
      </c>
      <c r="W147" s="271">
        <f t="shared" si="46"/>
        <v>0</v>
      </c>
      <c r="X147" s="271">
        <f t="shared" si="46"/>
        <v>0</v>
      </c>
      <c r="Y147" s="271">
        <f t="shared" si="46"/>
        <v>0</v>
      </c>
      <c r="Z147" s="271">
        <f t="shared" si="46"/>
        <v>0</v>
      </c>
      <c r="AA147" s="271">
        <f t="shared" si="46"/>
        <v>0</v>
      </c>
      <c r="AB147" s="271">
        <f t="shared" si="46"/>
        <v>0</v>
      </c>
      <c r="AC147" s="271">
        <f t="shared" si="46"/>
        <v>0</v>
      </c>
      <c r="AD147" s="271">
        <f t="shared" si="46"/>
        <v>0</v>
      </c>
      <c r="AE147" s="271">
        <f t="shared" si="46"/>
        <v>0</v>
      </c>
      <c r="AF147" s="271">
        <f t="shared" si="46"/>
        <v>0</v>
      </c>
      <c r="AG147" s="271">
        <f t="shared" si="46"/>
        <v>0</v>
      </c>
      <c r="AH147" s="271">
        <f t="shared" si="46"/>
        <v>0</v>
      </c>
      <c r="AI147" s="271">
        <f t="shared" si="46"/>
        <v>0</v>
      </c>
      <c r="AJ147" s="271">
        <f t="shared" si="46"/>
        <v>0</v>
      </c>
    </row>
    <row r="148" spans="2:36" s="29" customFormat="1" ht="16">
      <c r="B148" s="259" t="s">
        <v>356</v>
      </c>
      <c r="C148" s="259"/>
      <c r="D148" s="259"/>
      <c r="E148" s="269">
        <f>Inputs!$Q$62*Inputs!$G$9</f>
        <v>0</v>
      </c>
      <c r="F148" s="275"/>
      <c r="G148" s="271">
        <f>IF(G$2=Inputs!$Q$61,'Cash Flow'!$E$148,0)</f>
        <v>0</v>
      </c>
      <c r="H148" s="271">
        <f>IF(H$2=Inputs!$Q$61,'Cash Flow'!$E$148,0)</f>
        <v>0</v>
      </c>
      <c r="I148" s="271">
        <f>IF(I$2=Inputs!$Q$61,'Cash Flow'!$E$148,0)</f>
        <v>0</v>
      </c>
      <c r="J148" s="271">
        <f>IF(J$2=Inputs!$Q$61,'Cash Flow'!$E$148,0)</f>
        <v>0</v>
      </c>
      <c r="K148" s="271">
        <f>IF(K$2=Inputs!$Q$61,'Cash Flow'!$E$148,0)</f>
        <v>0</v>
      </c>
      <c r="L148" s="271">
        <f>IF(L$2=Inputs!$Q$61,'Cash Flow'!$E$148,0)</f>
        <v>0</v>
      </c>
      <c r="M148" s="271">
        <f>IF(M$2=Inputs!$Q$61,'Cash Flow'!$E$148,0)</f>
        <v>0</v>
      </c>
      <c r="N148" s="271">
        <f>IF(N$2=Inputs!$Q$61,'Cash Flow'!$E$148,0)</f>
        <v>0</v>
      </c>
      <c r="O148" s="271">
        <f>IF(O$2=Inputs!$Q$61,'Cash Flow'!$E$148,0)</f>
        <v>0</v>
      </c>
      <c r="P148" s="271">
        <f>IF(P$2=Inputs!$Q$61,'Cash Flow'!$E$148,0)</f>
        <v>0</v>
      </c>
      <c r="Q148" s="271">
        <f>IF(Q$2=Inputs!$Q$61,'Cash Flow'!$E$148,0)</f>
        <v>0</v>
      </c>
      <c r="R148" s="271">
        <f>IF(R$2=Inputs!$Q$61,'Cash Flow'!$E$148,0)</f>
        <v>0</v>
      </c>
      <c r="S148" s="271">
        <f>IF(S$2=Inputs!$Q$61,'Cash Flow'!$E$148,0)</f>
        <v>0</v>
      </c>
      <c r="T148" s="271">
        <f>IF(T$2=Inputs!$Q$61,'Cash Flow'!$E$148,0)</f>
        <v>0</v>
      </c>
      <c r="U148" s="271">
        <f>IF(U$2=Inputs!$Q$61,'Cash Flow'!$E$148,0)</f>
        <v>0</v>
      </c>
      <c r="V148" s="271">
        <f>IF(V$2=Inputs!$Q$61,'Cash Flow'!$E$148,0)</f>
        <v>0</v>
      </c>
      <c r="W148" s="271">
        <f>IF(W$2=Inputs!$Q$61,'Cash Flow'!$E$148,0)</f>
        <v>0</v>
      </c>
      <c r="X148" s="271">
        <f>IF(X$2=Inputs!$Q$61,'Cash Flow'!$E$148,0)</f>
        <v>0</v>
      </c>
      <c r="Y148" s="271">
        <f>IF(Y$2=Inputs!$Q$61,'Cash Flow'!$E$148,0)</f>
        <v>0</v>
      </c>
      <c r="Z148" s="271">
        <f>IF(Z$2=Inputs!$Q$61,'Cash Flow'!$E$148,0)</f>
        <v>0</v>
      </c>
      <c r="AA148" s="271">
        <f>IF(AA$2=Inputs!$Q$61,'Cash Flow'!$E$148,0)</f>
        <v>0</v>
      </c>
      <c r="AB148" s="271">
        <f>IF(AB$2=Inputs!$Q$61,'Cash Flow'!$E$148,0)</f>
        <v>0</v>
      </c>
      <c r="AC148" s="271">
        <f>IF(AC$2=Inputs!$Q$61,'Cash Flow'!$E$148,0)</f>
        <v>0</v>
      </c>
      <c r="AD148" s="271">
        <f>IF(AD$2=Inputs!$Q$61,'Cash Flow'!$E$148,0)</f>
        <v>0</v>
      </c>
      <c r="AE148" s="271">
        <f>IF(AE$2=Inputs!$Q$61,'Cash Flow'!$E$148,0)</f>
        <v>0</v>
      </c>
      <c r="AF148" s="271">
        <f>IF(AF$2=Inputs!$Q$61,'Cash Flow'!$E$148,0)</f>
        <v>0</v>
      </c>
      <c r="AG148" s="271">
        <f>IF(AG$2=Inputs!$Q$61,'Cash Flow'!$E$148,0)</f>
        <v>0</v>
      </c>
      <c r="AH148" s="271">
        <f>IF(AH$2=Inputs!$Q$61,'Cash Flow'!$E$148,0)</f>
        <v>0</v>
      </c>
      <c r="AI148" s="271">
        <f>IF(AI$2=Inputs!$Q$61,'Cash Flow'!$E$148,0)</f>
        <v>0</v>
      </c>
      <c r="AJ148" s="271">
        <f>IF(AJ$2=Inputs!$Q$61,'Cash Flow'!$E$148,0)</f>
        <v>0</v>
      </c>
    </row>
    <row r="149" spans="2:36" s="29" customFormat="1" ht="16">
      <c r="B149" s="259" t="s">
        <v>152</v>
      </c>
      <c r="C149" s="259"/>
      <c r="D149" s="259"/>
      <c r="E149" s="269"/>
      <c r="F149" s="275"/>
      <c r="G149" s="276">
        <f>IF(G148&gt;0,1,IF(F149&gt;0,F149+1,0))</f>
        <v>0</v>
      </c>
      <c r="H149" s="276">
        <f t="shared" ref="H149:AJ149" si="47">IF(H148&gt;0,1,IF(G149&gt;0,G149+1,0))</f>
        <v>0</v>
      </c>
      <c r="I149" s="276">
        <f t="shared" si="47"/>
        <v>0</v>
      </c>
      <c r="J149" s="276">
        <f t="shared" si="47"/>
        <v>0</v>
      </c>
      <c r="K149" s="276">
        <f t="shared" si="47"/>
        <v>0</v>
      </c>
      <c r="L149" s="276">
        <f t="shared" si="47"/>
        <v>0</v>
      </c>
      <c r="M149" s="276">
        <f t="shared" si="47"/>
        <v>0</v>
      </c>
      <c r="N149" s="276">
        <f t="shared" si="47"/>
        <v>0</v>
      </c>
      <c r="O149" s="276">
        <f t="shared" si="47"/>
        <v>0</v>
      </c>
      <c r="P149" s="276">
        <f t="shared" si="47"/>
        <v>0</v>
      </c>
      <c r="Q149" s="276">
        <f t="shared" si="47"/>
        <v>0</v>
      </c>
      <c r="R149" s="276">
        <f t="shared" si="47"/>
        <v>0</v>
      </c>
      <c r="S149" s="276">
        <f t="shared" si="47"/>
        <v>0</v>
      </c>
      <c r="T149" s="276">
        <f t="shared" si="47"/>
        <v>0</v>
      </c>
      <c r="U149" s="276">
        <f t="shared" si="47"/>
        <v>0</v>
      </c>
      <c r="V149" s="276">
        <f t="shared" si="47"/>
        <v>0</v>
      </c>
      <c r="W149" s="276">
        <f t="shared" si="47"/>
        <v>0</v>
      </c>
      <c r="X149" s="276">
        <f t="shared" si="47"/>
        <v>0</v>
      </c>
      <c r="Y149" s="276">
        <f t="shared" si="47"/>
        <v>0</v>
      </c>
      <c r="Z149" s="276">
        <f t="shared" si="47"/>
        <v>0</v>
      </c>
      <c r="AA149" s="276">
        <f t="shared" si="47"/>
        <v>0</v>
      </c>
      <c r="AB149" s="276">
        <f t="shared" si="47"/>
        <v>0</v>
      </c>
      <c r="AC149" s="276">
        <f t="shared" si="47"/>
        <v>0</v>
      </c>
      <c r="AD149" s="276">
        <f t="shared" si="47"/>
        <v>0</v>
      </c>
      <c r="AE149" s="276">
        <f t="shared" si="47"/>
        <v>0</v>
      </c>
      <c r="AF149" s="276">
        <f t="shared" si="47"/>
        <v>0</v>
      </c>
      <c r="AG149" s="276">
        <f t="shared" si="47"/>
        <v>0</v>
      </c>
      <c r="AH149" s="276">
        <f t="shared" si="47"/>
        <v>0</v>
      </c>
      <c r="AI149" s="276">
        <f t="shared" si="47"/>
        <v>0</v>
      </c>
      <c r="AJ149" s="276">
        <f t="shared" si="47"/>
        <v>0</v>
      </c>
    </row>
    <row r="150" spans="2:36" s="29" customFormat="1" ht="16">
      <c r="B150" s="272" t="s">
        <v>153</v>
      </c>
      <c r="C150" s="272"/>
      <c r="D150" s="272"/>
      <c r="E150" s="273"/>
      <c r="F150" s="275"/>
      <c r="G150" s="271">
        <f>IF(G149=0,0,$E$148*LOOKUP(G149,$G$107:$AJ$107,$G$109:$AJ$109))</f>
        <v>0</v>
      </c>
      <c r="H150" s="271">
        <f t="shared" ref="H150:AJ150" si="48">IF(H149=0,0,$E$148*LOOKUP(H149,$G$107:$AJ$107,$G$109:$AJ$109))</f>
        <v>0</v>
      </c>
      <c r="I150" s="271">
        <f t="shared" si="48"/>
        <v>0</v>
      </c>
      <c r="J150" s="271">
        <f t="shared" si="48"/>
        <v>0</v>
      </c>
      <c r="K150" s="271">
        <f t="shared" si="48"/>
        <v>0</v>
      </c>
      <c r="L150" s="271">
        <f t="shared" si="48"/>
        <v>0</v>
      </c>
      <c r="M150" s="271">
        <f t="shared" si="48"/>
        <v>0</v>
      </c>
      <c r="N150" s="271">
        <f t="shared" si="48"/>
        <v>0</v>
      </c>
      <c r="O150" s="271">
        <f t="shared" si="48"/>
        <v>0</v>
      </c>
      <c r="P150" s="271">
        <f t="shared" si="48"/>
        <v>0</v>
      </c>
      <c r="Q150" s="271">
        <f t="shared" si="48"/>
        <v>0</v>
      </c>
      <c r="R150" s="271">
        <f t="shared" si="48"/>
        <v>0</v>
      </c>
      <c r="S150" s="271">
        <f t="shared" si="48"/>
        <v>0</v>
      </c>
      <c r="T150" s="271">
        <f t="shared" si="48"/>
        <v>0</v>
      </c>
      <c r="U150" s="271">
        <f t="shared" si="48"/>
        <v>0</v>
      </c>
      <c r="V150" s="271">
        <f t="shared" si="48"/>
        <v>0</v>
      </c>
      <c r="W150" s="271">
        <f t="shared" si="48"/>
        <v>0</v>
      </c>
      <c r="X150" s="271">
        <f t="shared" si="48"/>
        <v>0</v>
      </c>
      <c r="Y150" s="271">
        <f t="shared" si="48"/>
        <v>0</v>
      </c>
      <c r="Z150" s="271">
        <f t="shared" si="48"/>
        <v>0</v>
      </c>
      <c r="AA150" s="271">
        <f t="shared" si="48"/>
        <v>0</v>
      </c>
      <c r="AB150" s="271">
        <f t="shared" si="48"/>
        <v>0</v>
      </c>
      <c r="AC150" s="271">
        <f t="shared" si="48"/>
        <v>0</v>
      </c>
      <c r="AD150" s="271">
        <f t="shared" si="48"/>
        <v>0</v>
      </c>
      <c r="AE150" s="271">
        <f t="shared" si="48"/>
        <v>0</v>
      </c>
      <c r="AF150" s="271">
        <f t="shared" si="48"/>
        <v>0</v>
      </c>
      <c r="AG150" s="271">
        <f t="shared" si="48"/>
        <v>0</v>
      </c>
      <c r="AH150" s="271">
        <f t="shared" si="48"/>
        <v>0</v>
      </c>
      <c r="AI150" s="271">
        <f t="shared" si="48"/>
        <v>0</v>
      </c>
      <c r="AJ150" s="271">
        <f t="shared" si="48"/>
        <v>0</v>
      </c>
    </row>
    <row r="151" spans="2:36" s="29" customFormat="1" ht="16">
      <c r="B151" s="259"/>
      <c r="C151" s="274"/>
      <c r="D151" s="274"/>
      <c r="E151" s="269"/>
      <c r="F151" s="275"/>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c r="AG151" s="271"/>
      <c r="AH151" s="271"/>
      <c r="AI151" s="271"/>
      <c r="AJ151" s="271"/>
    </row>
    <row r="152" spans="2:36" s="29" customFormat="1" ht="16">
      <c r="B152" s="259" t="s">
        <v>229</v>
      </c>
      <c r="C152" s="259"/>
      <c r="D152" s="259"/>
      <c r="E152" s="268"/>
      <c r="F152" s="307"/>
      <c r="G152" s="277">
        <f>IF(AND(Inputs!$G$79="Yes",G$2&lt;=Inputs!$G$19),SUM('Cash Flow'!G126:G134)+G141+G144+G147+G150,0)</f>
        <v>2820345.3046875005</v>
      </c>
      <c r="H152" s="277">
        <f>IF(AND(Inputs!$G$79="Yes",H$2&lt;=Inputs!$G$19),SUM('Cash Flow'!H126:H134)+H141+H144+H147+H150,0)</f>
        <v>4519208.1300962502</v>
      </c>
      <c r="I152" s="277">
        <f>IF(AND(Inputs!$G$79="Yes",I$2&lt;=Inputs!$G$19),SUM('Cash Flow'!I126:I134)+I141+I144+I147+I150,0)</f>
        <v>2724363.4622074999</v>
      </c>
      <c r="J152" s="277">
        <f>IF(AND(Inputs!$G$79="Yes",J$2&lt;=Inputs!$G$19),SUM('Cash Flow'!J126:J134)+J141+J144+J147+J150,0)</f>
        <v>1646570.8310387498</v>
      </c>
      <c r="K152" s="277">
        <f>IF(AND(Inputs!$G$79="Yes",K$2&lt;=Inputs!$G$19),SUM('Cash Flow'!K126:K134)+K141+K144+K147+K150,0)</f>
        <v>1644159.668505</v>
      </c>
      <c r="L152" s="277">
        <f>IF(AND(Inputs!$G$79="Yes",L$2&lt;=Inputs!$G$19),SUM('Cash Flow'!L126:L134)+L141+L144+L147+L150,0)</f>
        <v>835596.64163750003</v>
      </c>
      <c r="M152" s="277">
        <f>IF(AND(Inputs!$G$79="Yes",M$2&lt;=Inputs!$G$19),SUM('Cash Flow'!M126:M134)+M141+M144+M147+M150,0)</f>
        <v>27906.339442500001</v>
      </c>
      <c r="N152" s="277">
        <f>IF(AND(Inputs!$G$79="Yes",N$2&lt;=Inputs!$G$19),SUM('Cash Flow'!N126:N134)+N141+N144+N147+N150,0)</f>
        <v>27361.258845</v>
      </c>
      <c r="O152" s="277">
        <f>IF(AND(Inputs!$G$79="Yes",O$2&lt;=Inputs!$G$19),SUM('Cash Flow'!O126:O134)+O141+O144+O147+O150,0)</f>
        <v>27294.240738749999</v>
      </c>
      <c r="P152" s="277">
        <f>IF(AND(Inputs!$G$79="Yes",P$2&lt;=Inputs!$G$19),SUM('Cash Flow'!P126:P134)+P141+P144+P147+P150,0)</f>
        <v>27270.41207875</v>
      </c>
      <c r="Q152" s="277">
        <f>IF(AND(Inputs!$G$79="Yes",Q$2&lt;=Inputs!$G$19),SUM('Cash Flow'!Q126:Q134)+Q141+Q144+Q147+Q150,0)</f>
        <v>27294.240738749999</v>
      </c>
      <c r="R152" s="277">
        <f>IF(AND(Inputs!$G$79="Yes",R$2&lt;=Inputs!$G$19),SUM('Cash Flow'!R126:R134)+R141+R144+R147+R150,0)</f>
        <v>27270.41207875</v>
      </c>
      <c r="S152" s="277">
        <f>IF(AND(Inputs!$G$79="Yes",S$2&lt;=Inputs!$G$19),SUM('Cash Flow'!S126:S134)+S141+S144+S147+S150,0)</f>
        <v>27294.240738749999</v>
      </c>
      <c r="T152" s="277">
        <f>IF(AND(Inputs!$G$79="Yes",T$2&lt;=Inputs!$G$19),SUM('Cash Flow'!T126:T134)+T141+T144+T147+T150,0)</f>
        <v>27270.41207875</v>
      </c>
      <c r="U152" s="277">
        <f>IF(AND(Inputs!$G$79="Yes",U$2&lt;=Inputs!$G$19),SUM('Cash Flow'!U126:U134)+U141+U144+U147+U150,0)</f>
        <v>27294.240738749999</v>
      </c>
      <c r="V152" s="277">
        <f>IF(AND(Inputs!$G$79="Yes",V$2&lt;=Inputs!$G$19),SUM('Cash Flow'!V126:V134)+V141+V144+V147+V150,0)</f>
        <v>20680.298297499998</v>
      </c>
      <c r="W152" s="277">
        <f>IF(AND(Inputs!$G$79="Yes",W$2&lt;=Inputs!$G$19),SUM('Cash Flow'!W126:W134)+W141+W144+W147+W150,0)</f>
        <v>14091.673807499999</v>
      </c>
      <c r="X152" s="277">
        <f>IF(AND(Inputs!$G$79="Yes",X$2&lt;=Inputs!$G$19),SUM('Cash Flow'!X126:X134)+X141+X144+X147+X150,0)</f>
        <v>14090.184516249999</v>
      </c>
      <c r="Y152" s="277">
        <f>IF(AND(Inputs!$G$79="Yes",Y$2&lt;=Inputs!$G$19),SUM('Cash Flow'!Y126:Y134)+Y141+Y144+Y147+Y150,0)</f>
        <v>14091.673807499999</v>
      </c>
      <c r="Z152" s="277">
        <f>IF(AND(Inputs!$G$79="Yes",Z$2&lt;=Inputs!$G$19),SUM('Cash Flow'!Z126:Z134)+Z141+Z144+Z147+Z150,0)</f>
        <v>14090.184516249999</v>
      </c>
      <c r="AA152" s="277">
        <f>IF(AND(Inputs!$G$79="Yes",AA$2&lt;=Inputs!$G$19),SUM('Cash Flow'!AA126:AA134)+AA141+AA144+AA147+AA150,0)</f>
        <v>0</v>
      </c>
      <c r="AB152" s="277">
        <f>IF(AND(Inputs!$G$79="Yes",AB$2&lt;=Inputs!$G$19),SUM('Cash Flow'!AB126:AB134)+AB141+AB144+AB147+AB150,0)</f>
        <v>0</v>
      </c>
      <c r="AC152" s="277">
        <f>IF(AND(Inputs!$G$79="Yes",AC$2&lt;=Inputs!$G$19),SUM('Cash Flow'!AC126:AC134)+AC141+AC144+AC147+AC150,0)</f>
        <v>0</v>
      </c>
      <c r="AD152" s="277">
        <f>IF(AND(Inputs!$G$79="Yes",AD$2&lt;=Inputs!$G$19),SUM('Cash Flow'!AD126:AD134)+AD141+AD144+AD147+AD150,0)</f>
        <v>0</v>
      </c>
      <c r="AE152" s="277">
        <f>IF(AND(Inputs!$G$79="Yes",AE$2&lt;=Inputs!$G$19),SUM('Cash Flow'!AE126:AE134)+AE141+AE144+AE147+AE150,0)</f>
        <v>0</v>
      </c>
      <c r="AF152" s="277">
        <f>IF(AND(Inputs!$G$79="Yes",AF$2&lt;=Inputs!$G$19),SUM('Cash Flow'!AF126:AF134)+AF141+AF144+AF147+AF150,0)</f>
        <v>0</v>
      </c>
      <c r="AG152" s="277">
        <f>IF(AND(Inputs!$G$79="Yes",AG$2&lt;=Inputs!$G$19),SUM('Cash Flow'!AG126:AG134)+AG141+AG144+AG147+AG150,0)</f>
        <v>0</v>
      </c>
      <c r="AH152" s="277">
        <f>IF(AND(Inputs!$G$79="Yes",AH$2&lt;=Inputs!$G$19),SUM('Cash Flow'!AH126:AH134)+AH141+AH144+AH147+AH150,0)</f>
        <v>0</v>
      </c>
      <c r="AI152" s="277">
        <f>IF(AND(Inputs!$G$79="Yes",AI$2&lt;=Inputs!$G$19),SUM('Cash Flow'!AI126:AI134)+AI141+AI144+AI147+AI150,0)</f>
        <v>0</v>
      </c>
      <c r="AJ152" s="277">
        <f>IF(AND(Inputs!$G$79="Yes",AJ$2&lt;=Inputs!$G$19),SUM('Cash Flow'!AJ126:AJ134)+AJ141+AJ144+AJ147+AJ150,0)</f>
        <v>0</v>
      </c>
    </row>
    <row r="153" spans="2:36" s="29" customFormat="1" ht="16">
      <c r="B153" s="259"/>
      <c r="C153" s="259"/>
      <c r="D153" s="259"/>
      <c r="E153" s="268"/>
      <c r="F153" s="307"/>
      <c r="G153" s="277"/>
      <c r="H153" s="277"/>
      <c r="I153" s="277"/>
      <c r="J153" s="277"/>
      <c r="K153" s="277"/>
      <c r="L153" s="277"/>
      <c r="M153" s="277"/>
      <c r="N153" s="277"/>
      <c r="O153" s="277"/>
      <c r="P153" s="277"/>
      <c r="Q153" s="277"/>
      <c r="R153" s="277"/>
      <c r="S153" s="277"/>
      <c r="T153" s="277"/>
      <c r="U153" s="277"/>
      <c r="V153" s="277"/>
      <c r="W153" s="277"/>
      <c r="X153" s="277"/>
      <c r="Y153" s="277"/>
      <c r="Z153" s="277"/>
      <c r="AA153" s="277"/>
      <c r="AB153" s="277"/>
      <c r="AC153" s="277"/>
      <c r="AD153" s="277"/>
      <c r="AE153" s="277"/>
      <c r="AF153" s="277"/>
      <c r="AG153" s="277"/>
      <c r="AH153" s="277"/>
      <c r="AI153" s="277"/>
      <c r="AJ153" s="277"/>
    </row>
    <row r="154" spans="2:36" s="29" customFormat="1" ht="16">
      <c r="B154" s="259" t="s">
        <v>184</v>
      </c>
      <c r="C154" s="259"/>
      <c r="D154" s="259"/>
      <c r="E154" s="268"/>
      <c r="F154" s="307"/>
      <c r="G154" s="279">
        <f>G152*Inputs!$G$84</f>
        <v>1142944.9347246096</v>
      </c>
      <c r="H154" s="279">
        <f>H152*Inputs!$G$84</f>
        <v>1831409.0947215054</v>
      </c>
      <c r="I154" s="279">
        <f>I152*Inputs!$G$84</f>
        <v>1104048.2930595893</v>
      </c>
      <c r="J154" s="279">
        <f>J152*Inputs!$G$84</f>
        <v>667272.82927845337</v>
      </c>
      <c r="K154" s="279">
        <f>K152*Inputs!$G$84</f>
        <v>666295.70566165121</v>
      </c>
      <c r="L154" s="279">
        <f>L152*Inputs!$G$84</f>
        <v>338625.53902359691</v>
      </c>
      <c r="M154" s="279">
        <f>M152*Inputs!$G$84</f>
        <v>11309.044059073125</v>
      </c>
      <c r="N154" s="279">
        <f>N152*Inputs!$G$84</f>
        <v>11088.15014693625</v>
      </c>
      <c r="O154" s="279">
        <f>O152*Inputs!$G$84</f>
        <v>11060.991059378437</v>
      </c>
      <c r="P154" s="279">
        <f>P152*Inputs!$G$84</f>
        <v>11051.334494913437</v>
      </c>
      <c r="Q154" s="279">
        <f>Q152*Inputs!$G$84</f>
        <v>11060.991059378437</v>
      </c>
      <c r="R154" s="279">
        <f>R152*Inputs!$G$84</f>
        <v>11051.334494913437</v>
      </c>
      <c r="S154" s="279">
        <f>S152*Inputs!$G$84</f>
        <v>11060.991059378437</v>
      </c>
      <c r="T154" s="279">
        <f>T152*Inputs!$G$84</f>
        <v>11051.334494913437</v>
      </c>
      <c r="U154" s="279">
        <f>U152*Inputs!$G$84</f>
        <v>11060.991059378437</v>
      </c>
      <c r="V154" s="279">
        <f>V152*Inputs!$G$84</f>
        <v>8380.6908850618747</v>
      </c>
      <c r="W154" s="279">
        <f>W152*Inputs!$G$84</f>
        <v>5710.6508104893746</v>
      </c>
      <c r="X154" s="279">
        <f>X152*Inputs!$G$84</f>
        <v>5710.0472752103124</v>
      </c>
      <c r="Y154" s="279">
        <f>Y152*Inputs!$G$84</f>
        <v>5710.6508104893746</v>
      </c>
      <c r="Z154" s="279">
        <f>Z152*Inputs!$G$84</f>
        <v>5710.0472752103124</v>
      </c>
      <c r="AA154" s="279">
        <f>AA152*Inputs!$G$84</f>
        <v>0</v>
      </c>
      <c r="AB154" s="279">
        <f>AB152*Inputs!$G$84</f>
        <v>0</v>
      </c>
      <c r="AC154" s="279">
        <f>AC152*Inputs!$G$84</f>
        <v>0</v>
      </c>
      <c r="AD154" s="279">
        <f>AD152*Inputs!$G$84</f>
        <v>0</v>
      </c>
      <c r="AE154" s="279">
        <f>AE152*Inputs!$G$84</f>
        <v>0</v>
      </c>
      <c r="AF154" s="279">
        <f>AF152*Inputs!$G$84</f>
        <v>0</v>
      </c>
      <c r="AG154" s="279">
        <f>AG152*Inputs!$G$84</f>
        <v>0</v>
      </c>
      <c r="AH154" s="279">
        <f>AH152*Inputs!$G$84</f>
        <v>0</v>
      </c>
      <c r="AI154" s="279">
        <f>AI152*Inputs!$G$84</f>
        <v>0</v>
      </c>
      <c r="AJ154" s="279">
        <f>AJ152*Inputs!$G$84</f>
        <v>0</v>
      </c>
    </row>
    <row r="155" spans="2:36" s="29" customFormat="1" ht="17" thickBot="1">
      <c r="B155" s="280"/>
      <c r="C155" s="280"/>
      <c r="D155" s="280"/>
      <c r="E155" s="281"/>
      <c r="F155" s="281"/>
      <c r="G155" s="282"/>
      <c r="H155" s="283"/>
      <c r="I155" s="281"/>
      <c r="J155" s="281"/>
      <c r="K155" s="281"/>
      <c r="L155" s="281"/>
      <c r="M155" s="281"/>
      <c r="N155" s="281"/>
      <c r="O155" s="281"/>
      <c r="P155" s="281"/>
      <c r="Q155" s="281"/>
      <c r="R155" s="281"/>
      <c r="S155" s="281"/>
      <c r="T155" s="281"/>
      <c r="U155" s="281"/>
      <c r="V155" s="281"/>
      <c r="W155" s="281"/>
      <c r="X155" s="281"/>
      <c r="Y155" s="281"/>
      <c r="Z155" s="281"/>
      <c r="AA155" s="281"/>
      <c r="AB155" s="281"/>
      <c r="AC155" s="281"/>
      <c r="AD155" s="281"/>
      <c r="AE155" s="281"/>
      <c r="AF155" s="281"/>
      <c r="AG155" s="281"/>
      <c r="AH155" s="281"/>
      <c r="AI155" s="281"/>
      <c r="AJ155" s="281"/>
    </row>
    <row r="156" spans="2:36">
      <c r="B156" s="303"/>
      <c r="C156" s="303"/>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row>
    <row r="157" spans="2:36" ht="16">
      <c r="B157" s="258" t="s">
        <v>223</v>
      </c>
      <c r="C157" s="258"/>
      <c r="D157" s="258"/>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row>
    <row r="158" spans="2:36" ht="16">
      <c r="B158" s="259"/>
      <c r="C158" s="259"/>
      <c r="D158" s="259"/>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row>
    <row r="159" spans="2:36" ht="16">
      <c r="B159" s="259" t="s">
        <v>222</v>
      </c>
      <c r="C159" s="259"/>
      <c r="D159" s="259"/>
      <c r="E159" s="303"/>
      <c r="F159" s="303"/>
      <c r="G159" s="279">
        <f>G68</f>
        <v>-1711502.8844630895</v>
      </c>
      <c r="H159" s="279">
        <f t="shared" ref="H159:AJ159" si="49">H68</f>
        <v>-3436709.8207053179</v>
      </c>
      <c r="I159" s="279">
        <f t="shared" si="49"/>
        <v>-1668156.6691729287</v>
      </c>
      <c r="J159" s="279">
        <f t="shared" si="49"/>
        <v>-616543.08517368103</v>
      </c>
      <c r="K159" s="279">
        <f t="shared" si="49"/>
        <v>-545857.96277731424</v>
      </c>
      <c r="L159" s="279">
        <f t="shared" si="49"/>
        <v>240803.25592376653</v>
      </c>
      <c r="M159" s="279">
        <f t="shared" si="49"/>
        <v>1027079.2695726902</v>
      </c>
      <c r="N159" s="279">
        <f t="shared" si="49"/>
        <v>1006791.2110506165</v>
      </c>
      <c r="O159" s="279">
        <f t="shared" si="49"/>
        <v>986708.39262948697</v>
      </c>
      <c r="P159" s="279">
        <f t="shared" si="49"/>
        <v>1069965.5085983113</v>
      </c>
      <c r="Q159" s="279">
        <f t="shared" si="49"/>
        <v>1055689.6748958316</v>
      </c>
      <c r="R159" s="279">
        <f t="shared" si="49"/>
        <v>1042680.2395098765</v>
      </c>
      <c r="S159" s="279">
        <f t="shared" si="49"/>
        <v>1030992.3013569459</v>
      </c>
      <c r="T159" s="279">
        <f t="shared" si="49"/>
        <v>1017772.5976676912</v>
      </c>
      <c r="U159" s="279">
        <f t="shared" si="49"/>
        <v>1059765.2496165084</v>
      </c>
      <c r="V159" s="279">
        <f t="shared" si="49"/>
        <v>1002262.845649896</v>
      </c>
      <c r="W159" s="279">
        <f t="shared" si="49"/>
        <v>942678.18289672246</v>
      </c>
      <c r="X159" s="279">
        <f t="shared" si="49"/>
        <v>874376.68839861418</v>
      </c>
      <c r="Y159" s="279">
        <f t="shared" si="49"/>
        <v>803867.01746124949</v>
      </c>
      <c r="Z159" s="279">
        <f t="shared" si="49"/>
        <v>844576.71142253105</v>
      </c>
      <c r="AA159" s="279">
        <f t="shared" si="49"/>
        <v>0</v>
      </c>
      <c r="AB159" s="279">
        <f t="shared" si="49"/>
        <v>0</v>
      </c>
      <c r="AC159" s="279">
        <f t="shared" si="49"/>
        <v>0</v>
      </c>
      <c r="AD159" s="279">
        <f t="shared" si="49"/>
        <v>0</v>
      </c>
      <c r="AE159" s="279">
        <f t="shared" si="49"/>
        <v>0</v>
      </c>
      <c r="AF159" s="279">
        <f t="shared" si="49"/>
        <v>0</v>
      </c>
      <c r="AG159" s="279">
        <f t="shared" si="49"/>
        <v>0</v>
      </c>
      <c r="AH159" s="279">
        <f t="shared" si="49"/>
        <v>0</v>
      </c>
      <c r="AI159" s="279">
        <f t="shared" si="49"/>
        <v>0</v>
      </c>
      <c r="AJ159" s="279">
        <f t="shared" si="49"/>
        <v>0</v>
      </c>
    </row>
    <row r="160" spans="2:36" ht="16">
      <c r="B160" s="259"/>
      <c r="C160" s="259"/>
      <c r="D160" s="259"/>
      <c r="E160" s="303"/>
      <c r="F160" s="303"/>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79"/>
      <c r="AF160" s="279"/>
      <c r="AG160" s="279"/>
      <c r="AH160" s="279"/>
      <c r="AI160" s="279"/>
      <c r="AJ160" s="279"/>
    </row>
    <row r="161" spans="2:36" ht="16">
      <c r="B161" s="346" t="s">
        <v>280</v>
      </c>
      <c r="C161" s="346"/>
      <c r="D161" s="346"/>
      <c r="E161" s="303"/>
      <c r="F161" s="303"/>
      <c r="G161" s="279"/>
      <c r="H161" s="279"/>
      <c r="I161" s="279"/>
      <c r="J161" s="279"/>
      <c r="K161" s="279"/>
      <c r="L161" s="279"/>
      <c r="M161" s="279"/>
      <c r="N161" s="279"/>
      <c r="O161" s="279"/>
      <c r="P161" s="279"/>
      <c r="Q161" s="279"/>
      <c r="R161" s="279"/>
      <c r="S161" s="279"/>
      <c r="T161" s="279"/>
      <c r="U161" s="279"/>
      <c r="V161" s="279"/>
      <c r="W161" s="279"/>
      <c r="X161" s="279"/>
      <c r="Y161" s="279"/>
      <c r="Z161" s="279"/>
      <c r="AA161" s="279"/>
      <c r="AB161" s="279"/>
      <c r="AC161" s="279"/>
      <c r="AD161" s="279"/>
      <c r="AE161" s="279"/>
      <c r="AF161" s="279"/>
      <c r="AG161" s="279"/>
      <c r="AH161" s="279"/>
      <c r="AI161" s="279"/>
      <c r="AJ161" s="279"/>
    </row>
    <row r="162" spans="2:36" ht="16">
      <c r="B162" s="259" t="s">
        <v>225</v>
      </c>
      <c r="C162" s="259"/>
      <c r="D162" s="259"/>
      <c r="E162" s="303"/>
      <c r="F162" s="303"/>
      <c r="G162" s="279">
        <v>0</v>
      </c>
      <c r="H162" s="279">
        <f>G165</f>
        <v>1711502.8844630895</v>
      </c>
      <c r="I162" s="279">
        <f t="shared" ref="I162:AJ162" si="50">H165</f>
        <v>5148212.7051684074</v>
      </c>
      <c r="J162" s="279">
        <f t="shared" si="50"/>
        <v>6816369.3743413361</v>
      </c>
      <c r="K162" s="279">
        <f t="shared" si="50"/>
        <v>7432912.4595150175</v>
      </c>
      <c r="L162" s="279">
        <f t="shared" si="50"/>
        <v>7978770.4222923312</v>
      </c>
      <c r="M162" s="279">
        <f t="shared" si="50"/>
        <v>7737967.1663685646</v>
      </c>
      <c r="N162" s="279">
        <f t="shared" si="50"/>
        <v>6710887.8967958745</v>
      </c>
      <c r="O162" s="279">
        <f t="shared" si="50"/>
        <v>5704096.6857452579</v>
      </c>
      <c r="P162" s="279">
        <f t="shared" si="50"/>
        <v>4717388.2931157704</v>
      </c>
      <c r="Q162" s="279">
        <f t="shared" si="50"/>
        <v>3647422.7845174591</v>
      </c>
      <c r="R162" s="279">
        <f t="shared" si="50"/>
        <v>2591733.1096216273</v>
      </c>
      <c r="S162" s="279">
        <f t="shared" si="50"/>
        <v>1549052.8701117509</v>
      </c>
      <c r="T162" s="279">
        <f t="shared" si="50"/>
        <v>518060.56875480502</v>
      </c>
      <c r="U162" s="279">
        <f t="shared" si="50"/>
        <v>0</v>
      </c>
      <c r="V162" s="279">
        <f t="shared" si="50"/>
        <v>0</v>
      </c>
      <c r="W162" s="279">
        <f t="shared" si="50"/>
        <v>0</v>
      </c>
      <c r="X162" s="279">
        <f t="shared" si="50"/>
        <v>0</v>
      </c>
      <c r="Y162" s="279">
        <f t="shared" si="50"/>
        <v>0</v>
      </c>
      <c r="Z162" s="279">
        <f t="shared" si="50"/>
        <v>0</v>
      </c>
      <c r="AA162" s="279">
        <f t="shared" si="50"/>
        <v>0</v>
      </c>
      <c r="AB162" s="279">
        <f t="shared" si="50"/>
        <v>0</v>
      </c>
      <c r="AC162" s="279">
        <f t="shared" si="50"/>
        <v>0</v>
      </c>
      <c r="AD162" s="279">
        <f t="shared" si="50"/>
        <v>0</v>
      </c>
      <c r="AE162" s="279">
        <f t="shared" si="50"/>
        <v>0</v>
      </c>
      <c r="AF162" s="279">
        <f t="shared" si="50"/>
        <v>0</v>
      </c>
      <c r="AG162" s="279">
        <f t="shared" si="50"/>
        <v>0</v>
      </c>
      <c r="AH162" s="279">
        <f t="shared" si="50"/>
        <v>0</v>
      </c>
      <c r="AI162" s="279">
        <f t="shared" si="50"/>
        <v>0</v>
      </c>
      <c r="AJ162" s="279">
        <f t="shared" si="50"/>
        <v>0</v>
      </c>
    </row>
    <row r="163" spans="2:36" ht="16">
      <c r="B163" s="259" t="s">
        <v>226</v>
      </c>
      <c r="C163" s="259"/>
      <c r="D163" s="259"/>
      <c r="E163" s="303"/>
      <c r="F163" s="303"/>
      <c r="G163" s="279">
        <f>IF(G$159&gt;0,0,-G$159)</f>
        <v>1711502.8844630895</v>
      </c>
      <c r="H163" s="279">
        <f t="shared" ref="H163:AJ163" si="51">IF(H$159&gt;0,0,-H$159)</f>
        <v>3436709.8207053179</v>
      </c>
      <c r="I163" s="279">
        <f t="shared" si="51"/>
        <v>1668156.6691729287</v>
      </c>
      <c r="J163" s="279">
        <f t="shared" si="51"/>
        <v>616543.08517368103</v>
      </c>
      <c r="K163" s="279">
        <f t="shared" si="51"/>
        <v>545857.96277731424</v>
      </c>
      <c r="L163" s="279">
        <f t="shared" si="51"/>
        <v>0</v>
      </c>
      <c r="M163" s="279">
        <f t="shared" si="51"/>
        <v>0</v>
      </c>
      <c r="N163" s="279">
        <f t="shared" si="51"/>
        <v>0</v>
      </c>
      <c r="O163" s="279">
        <f t="shared" si="51"/>
        <v>0</v>
      </c>
      <c r="P163" s="279">
        <f t="shared" si="51"/>
        <v>0</v>
      </c>
      <c r="Q163" s="279">
        <f t="shared" si="51"/>
        <v>0</v>
      </c>
      <c r="R163" s="279">
        <f t="shared" si="51"/>
        <v>0</v>
      </c>
      <c r="S163" s="279">
        <f t="shared" si="51"/>
        <v>0</v>
      </c>
      <c r="T163" s="279">
        <f t="shared" si="51"/>
        <v>0</v>
      </c>
      <c r="U163" s="279">
        <f t="shared" si="51"/>
        <v>0</v>
      </c>
      <c r="V163" s="279">
        <f t="shared" si="51"/>
        <v>0</v>
      </c>
      <c r="W163" s="279">
        <f t="shared" si="51"/>
        <v>0</v>
      </c>
      <c r="X163" s="279">
        <f t="shared" si="51"/>
        <v>0</v>
      </c>
      <c r="Y163" s="279">
        <f t="shared" si="51"/>
        <v>0</v>
      </c>
      <c r="Z163" s="279">
        <f t="shared" si="51"/>
        <v>0</v>
      </c>
      <c r="AA163" s="279">
        <f t="shared" si="51"/>
        <v>0</v>
      </c>
      <c r="AB163" s="279">
        <f t="shared" si="51"/>
        <v>0</v>
      </c>
      <c r="AC163" s="279">
        <f t="shared" si="51"/>
        <v>0</v>
      </c>
      <c r="AD163" s="279">
        <f t="shared" si="51"/>
        <v>0</v>
      </c>
      <c r="AE163" s="279">
        <f t="shared" si="51"/>
        <v>0</v>
      </c>
      <c r="AF163" s="279">
        <f t="shared" si="51"/>
        <v>0</v>
      </c>
      <c r="AG163" s="279">
        <f t="shared" si="51"/>
        <v>0</v>
      </c>
      <c r="AH163" s="279">
        <f t="shared" si="51"/>
        <v>0</v>
      </c>
      <c r="AI163" s="279">
        <f t="shared" si="51"/>
        <v>0</v>
      </c>
      <c r="AJ163" s="279">
        <f t="shared" si="51"/>
        <v>0</v>
      </c>
    </row>
    <row r="164" spans="2:36" ht="16">
      <c r="B164" s="259" t="s">
        <v>224</v>
      </c>
      <c r="C164" s="259"/>
      <c r="D164" s="259"/>
      <c r="E164" s="303"/>
      <c r="F164" s="303"/>
      <c r="G164" s="279">
        <f t="shared" ref="G164:L164" si="52">IF(G$159&lt;=0,0,-MIN(G$159,F$165))</f>
        <v>0</v>
      </c>
      <c r="H164" s="279">
        <f t="shared" si="52"/>
        <v>0</v>
      </c>
      <c r="I164" s="279">
        <f t="shared" si="52"/>
        <v>0</v>
      </c>
      <c r="J164" s="279">
        <f t="shared" si="52"/>
        <v>0</v>
      </c>
      <c r="K164" s="279">
        <f t="shared" si="52"/>
        <v>0</v>
      </c>
      <c r="L164" s="279">
        <f t="shared" si="52"/>
        <v>-240803.25592376653</v>
      </c>
      <c r="M164" s="279">
        <f>IF(M$159&lt;=0,0,-MIN(M$159,L$165))</f>
        <v>-1027079.2695726902</v>
      </c>
      <c r="N164" s="279">
        <f t="shared" ref="N164:AJ164" si="53">IF(N$159&lt;=0,0,-MIN(N$159,M$165))</f>
        <v>-1006791.2110506165</v>
      </c>
      <c r="O164" s="279">
        <f t="shared" si="53"/>
        <v>-986708.39262948697</v>
      </c>
      <c r="P164" s="279">
        <f t="shared" si="53"/>
        <v>-1069965.5085983113</v>
      </c>
      <c r="Q164" s="279">
        <f t="shared" si="53"/>
        <v>-1055689.6748958316</v>
      </c>
      <c r="R164" s="279">
        <f t="shared" si="53"/>
        <v>-1042680.2395098765</v>
      </c>
      <c r="S164" s="279">
        <f t="shared" si="53"/>
        <v>-1030992.3013569459</v>
      </c>
      <c r="T164" s="279">
        <f t="shared" si="53"/>
        <v>-518060.56875480502</v>
      </c>
      <c r="U164" s="279">
        <f t="shared" si="53"/>
        <v>0</v>
      </c>
      <c r="V164" s="279">
        <f t="shared" si="53"/>
        <v>0</v>
      </c>
      <c r="W164" s="279">
        <f t="shared" si="53"/>
        <v>0</v>
      </c>
      <c r="X164" s="279">
        <f t="shared" si="53"/>
        <v>0</v>
      </c>
      <c r="Y164" s="279">
        <f t="shared" si="53"/>
        <v>0</v>
      </c>
      <c r="Z164" s="279">
        <f t="shared" si="53"/>
        <v>0</v>
      </c>
      <c r="AA164" s="279">
        <f t="shared" si="53"/>
        <v>0</v>
      </c>
      <c r="AB164" s="279">
        <f t="shared" si="53"/>
        <v>0</v>
      </c>
      <c r="AC164" s="279">
        <f t="shared" si="53"/>
        <v>0</v>
      </c>
      <c r="AD164" s="279">
        <f t="shared" si="53"/>
        <v>0</v>
      </c>
      <c r="AE164" s="279">
        <f t="shared" si="53"/>
        <v>0</v>
      </c>
      <c r="AF164" s="279">
        <f t="shared" si="53"/>
        <v>0</v>
      </c>
      <c r="AG164" s="279">
        <f t="shared" si="53"/>
        <v>0</v>
      </c>
      <c r="AH164" s="279">
        <f t="shared" si="53"/>
        <v>0</v>
      </c>
      <c r="AI164" s="279">
        <f t="shared" si="53"/>
        <v>0</v>
      </c>
      <c r="AJ164" s="279">
        <f t="shared" si="53"/>
        <v>0</v>
      </c>
    </row>
    <row r="165" spans="2:36" ht="16">
      <c r="B165" s="259" t="s">
        <v>227</v>
      </c>
      <c r="C165" s="259"/>
      <c r="D165" s="259"/>
      <c r="E165" s="303"/>
      <c r="F165" s="303"/>
      <c r="G165" s="279">
        <f>SUM(G162:G164)</f>
        <v>1711502.8844630895</v>
      </c>
      <c r="H165" s="279">
        <f t="shared" ref="H165:AJ165" si="54">SUM(H162:H164)</f>
        <v>5148212.7051684074</v>
      </c>
      <c r="I165" s="279">
        <f t="shared" si="54"/>
        <v>6816369.3743413361</v>
      </c>
      <c r="J165" s="279">
        <f t="shared" si="54"/>
        <v>7432912.4595150175</v>
      </c>
      <c r="K165" s="279">
        <f t="shared" si="54"/>
        <v>7978770.4222923312</v>
      </c>
      <c r="L165" s="279">
        <f t="shared" si="54"/>
        <v>7737967.1663685646</v>
      </c>
      <c r="M165" s="279">
        <f t="shared" si="54"/>
        <v>6710887.8967958745</v>
      </c>
      <c r="N165" s="279">
        <f t="shared" si="54"/>
        <v>5704096.6857452579</v>
      </c>
      <c r="O165" s="279">
        <f t="shared" si="54"/>
        <v>4717388.2931157704</v>
      </c>
      <c r="P165" s="279">
        <f t="shared" si="54"/>
        <v>3647422.7845174591</v>
      </c>
      <c r="Q165" s="279">
        <f t="shared" si="54"/>
        <v>2591733.1096216273</v>
      </c>
      <c r="R165" s="279">
        <f t="shared" si="54"/>
        <v>1549052.8701117509</v>
      </c>
      <c r="S165" s="279">
        <f t="shared" si="54"/>
        <v>518060.56875480502</v>
      </c>
      <c r="T165" s="279">
        <f t="shared" si="54"/>
        <v>0</v>
      </c>
      <c r="U165" s="279">
        <f t="shared" si="54"/>
        <v>0</v>
      </c>
      <c r="V165" s="279">
        <f t="shared" si="54"/>
        <v>0</v>
      </c>
      <c r="W165" s="279">
        <f t="shared" si="54"/>
        <v>0</v>
      </c>
      <c r="X165" s="279">
        <f t="shared" si="54"/>
        <v>0</v>
      </c>
      <c r="Y165" s="279">
        <f t="shared" si="54"/>
        <v>0</v>
      </c>
      <c r="Z165" s="279">
        <f t="shared" si="54"/>
        <v>0</v>
      </c>
      <c r="AA165" s="279">
        <f t="shared" si="54"/>
        <v>0</v>
      </c>
      <c r="AB165" s="279">
        <f t="shared" si="54"/>
        <v>0</v>
      </c>
      <c r="AC165" s="279">
        <f t="shared" si="54"/>
        <v>0</v>
      </c>
      <c r="AD165" s="279">
        <f t="shared" si="54"/>
        <v>0</v>
      </c>
      <c r="AE165" s="279">
        <f t="shared" si="54"/>
        <v>0</v>
      </c>
      <c r="AF165" s="279">
        <f t="shared" si="54"/>
        <v>0</v>
      </c>
      <c r="AG165" s="279">
        <f t="shared" si="54"/>
        <v>0</v>
      </c>
      <c r="AH165" s="279">
        <f t="shared" si="54"/>
        <v>0</v>
      </c>
      <c r="AI165" s="279">
        <f t="shared" si="54"/>
        <v>0</v>
      </c>
      <c r="AJ165" s="279">
        <f t="shared" si="54"/>
        <v>0</v>
      </c>
    </row>
    <row r="166" spans="2:36" ht="16">
      <c r="B166" s="259"/>
      <c r="C166" s="259"/>
      <c r="D166" s="259"/>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row>
    <row r="167" spans="2:36" ht="16">
      <c r="B167" s="259" t="s">
        <v>228</v>
      </c>
      <c r="C167" s="259"/>
      <c r="D167" s="259"/>
      <c r="E167" s="303"/>
      <c r="F167" s="303"/>
      <c r="G167" s="279">
        <f>G159+G163+G164</f>
        <v>0</v>
      </c>
      <c r="H167" s="279">
        <f t="shared" ref="H167:AJ167" si="55">H159+H163+H164</f>
        <v>0</v>
      </c>
      <c r="I167" s="279">
        <f t="shared" si="55"/>
        <v>0</v>
      </c>
      <c r="J167" s="279">
        <f t="shared" si="55"/>
        <v>0</v>
      </c>
      <c r="K167" s="279">
        <f t="shared" si="55"/>
        <v>0</v>
      </c>
      <c r="L167" s="279">
        <f t="shared" si="55"/>
        <v>0</v>
      </c>
      <c r="M167" s="279">
        <f t="shared" si="55"/>
        <v>0</v>
      </c>
      <c r="N167" s="279">
        <f t="shared" si="55"/>
        <v>0</v>
      </c>
      <c r="O167" s="279">
        <f t="shared" si="55"/>
        <v>0</v>
      </c>
      <c r="P167" s="279">
        <f t="shared" si="55"/>
        <v>0</v>
      </c>
      <c r="Q167" s="279">
        <f t="shared" si="55"/>
        <v>0</v>
      </c>
      <c r="R167" s="279">
        <f t="shared" si="55"/>
        <v>0</v>
      </c>
      <c r="S167" s="279">
        <f t="shared" si="55"/>
        <v>0</v>
      </c>
      <c r="T167" s="279">
        <f t="shared" si="55"/>
        <v>499712.02891288616</v>
      </c>
      <c r="U167" s="279">
        <f t="shared" si="55"/>
        <v>1059765.2496165084</v>
      </c>
      <c r="V167" s="279">
        <f t="shared" si="55"/>
        <v>1002262.845649896</v>
      </c>
      <c r="W167" s="279">
        <f t="shared" si="55"/>
        <v>942678.18289672246</v>
      </c>
      <c r="X167" s="279">
        <f t="shared" si="55"/>
        <v>874376.68839861418</v>
      </c>
      <c r="Y167" s="279">
        <f t="shared" si="55"/>
        <v>803867.01746124949</v>
      </c>
      <c r="Z167" s="279">
        <f t="shared" si="55"/>
        <v>844576.71142253105</v>
      </c>
      <c r="AA167" s="279">
        <f t="shared" si="55"/>
        <v>0</v>
      </c>
      <c r="AB167" s="279">
        <f t="shared" si="55"/>
        <v>0</v>
      </c>
      <c r="AC167" s="279">
        <f t="shared" si="55"/>
        <v>0</v>
      </c>
      <c r="AD167" s="279">
        <f t="shared" si="55"/>
        <v>0</v>
      </c>
      <c r="AE167" s="279">
        <f t="shared" si="55"/>
        <v>0</v>
      </c>
      <c r="AF167" s="279">
        <f t="shared" si="55"/>
        <v>0</v>
      </c>
      <c r="AG167" s="279">
        <f t="shared" si="55"/>
        <v>0</v>
      </c>
      <c r="AH167" s="279">
        <f t="shared" si="55"/>
        <v>0</v>
      </c>
      <c r="AI167" s="279">
        <f t="shared" si="55"/>
        <v>0</v>
      </c>
      <c r="AJ167" s="279">
        <f t="shared" si="55"/>
        <v>0</v>
      </c>
    </row>
    <row r="168" spans="2:36" ht="16">
      <c r="B168" s="259"/>
      <c r="C168" s="259"/>
      <c r="D168" s="259"/>
      <c r="E168" s="303"/>
      <c r="F168" s="303"/>
      <c r="G168" s="279"/>
      <c r="H168" s="279"/>
      <c r="I168" s="279"/>
      <c r="J168" s="279"/>
      <c r="K168" s="279"/>
      <c r="L168" s="279"/>
      <c r="M168" s="279"/>
      <c r="N168" s="279"/>
      <c r="O168" s="279"/>
      <c r="P168" s="279"/>
      <c r="Q168" s="279"/>
      <c r="R168" s="279"/>
      <c r="S168" s="279"/>
      <c r="T168" s="279"/>
      <c r="U168" s="279"/>
      <c r="V168" s="279"/>
      <c r="W168" s="279"/>
      <c r="X168" s="279"/>
      <c r="Y168" s="279"/>
      <c r="Z168" s="279"/>
      <c r="AA168" s="279"/>
      <c r="AB168" s="279"/>
      <c r="AC168" s="279"/>
      <c r="AD168" s="279"/>
      <c r="AE168" s="279"/>
      <c r="AF168" s="279"/>
      <c r="AG168" s="279"/>
      <c r="AH168" s="279"/>
      <c r="AI168" s="279"/>
      <c r="AJ168" s="279"/>
    </row>
    <row r="169" spans="2:36" ht="16">
      <c r="B169" s="346" t="s">
        <v>281</v>
      </c>
      <c r="C169" s="346"/>
      <c r="D169" s="346"/>
      <c r="E169" s="303"/>
      <c r="F169" s="303"/>
      <c r="G169" s="279"/>
      <c r="H169" s="279"/>
      <c r="I169" s="279"/>
      <c r="J169" s="279"/>
      <c r="K169" s="279"/>
      <c r="L169" s="279"/>
      <c r="M169" s="279"/>
      <c r="N169" s="279"/>
      <c r="O169" s="279"/>
      <c r="P169" s="279"/>
      <c r="Q169" s="279"/>
      <c r="R169" s="279"/>
      <c r="S169" s="279"/>
      <c r="T169" s="279"/>
      <c r="U169" s="279"/>
      <c r="V169" s="279"/>
      <c r="W169" s="279"/>
      <c r="X169" s="279"/>
      <c r="Y169" s="279"/>
      <c r="Z169" s="279"/>
      <c r="AA169" s="279"/>
      <c r="AB169" s="279"/>
      <c r="AC169" s="279"/>
      <c r="AD169" s="279"/>
      <c r="AE169" s="279"/>
      <c r="AF169" s="279"/>
      <c r="AG169" s="279"/>
      <c r="AH169" s="279"/>
      <c r="AI169" s="279"/>
      <c r="AJ169" s="279"/>
    </row>
    <row r="170" spans="2:36" ht="16">
      <c r="B170" s="259" t="s">
        <v>225</v>
      </c>
      <c r="C170" s="259"/>
      <c r="D170" s="259"/>
      <c r="E170" s="303"/>
      <c r="F170" s="303"/>
      <c r="G170" s="279">
        <v>0</v>
      </c>
      <c r="H170" s="279">
        <f>G173</f>
        <v>1711502.8844630895</v>
      </c>
      <c r="I170" s="279">
        <f t="shared" ref="I170:AJ170" si="56">H173</f>
        <v>5148212.7051684074</v>
      </c>
      <c r="J170" s="279">
        <f t="shared" si="56"/>
        <v>6816369.3743413361</v>
      </c>
      <c r="K170" s="279">
        <f t="shared" si="56"/>
        <v>7432912.4595150175</v>
      </c>
      <c r="L170" s="279">
        <f t="shared" si="56"/>
        <v>7978770.4222923312</v>
      </c>
      <c r="M170" s="279">
        <f t="shared" si="56"/>
        <v>7737967.1663685646</v>
      </c>
      <c r="N170" s="279">
        <f t="shared" si="56"/>
        <v>6710887.8967958745</v>
      </c>
      <c r="O170" s="279">
        <f t="shared" si="56"/>
        <v>5704096.6857452579</v>
      </c>
      <c r="P170" s="279">
        <f t="shared" si="56"/>
        <v>4717388.2931157704</v>
      </c>
      <c r="Q170" s="279">
        <f t="shared" si="56"/>
        <v>3647422.7845174591</v>
      </c>
      <c r="R170" s="279">
        <f t="shared" si="56"/>
        <v>2591733.1096216273</v>
      </c>
      <c r="S170" s="279">
        <f t="shared" si="56"/>
        <v>1549052.8701117509</v>
      </c>
      <c r="T170" s="279">
        <f t="shared" si="56"/>
        <v>518060.56875480502</v>
      </c>
      <c r="U170" s="279">
        <f t="shared" si="56"/>
        <v>0</v>
      </c>
      <c r="V170" s="279">
        <f t="shared" si="56"/>
        <v>0</v>
      </c>
      <c r="W170" s="279">
        <f t="shared" si="56"/>
        <v>0</v>
      </c>
      <c r="X170" s="279">
        <f t="shared" si="56"/>
        <v>0</v>
      </c>
      <c r="Y170" s="279">
        <f t="shared" si="56"/>
        <v>0</v>
      </c>
      <c r="Z170" s="279">
        <f t="shared" si="56"/>
        <v>0</v>
      </c>
      <c r="AA170" s="279">
        <f t="shared" si="56"/>
        <v>0</v>
      </c>
      <c r="AB170" s="279">
        <f t="shared" si="56"/>
        <v>0</v>
      </c>
      <c r="AC170" s="279">
        <f t="shared" si="56"/>
        <v>0</v>
      </c>
      <c r="AD170" s="279">
        <f t="shared" si="56"/>
        <v>0</v>
      </c>
      <c r="AE170" s="279">
        <f t="shared" si="56"/>
        <v>0</v>
      </c>
      <c r="AF170" s="279">
        <f t="shared" si="56"/>
        <v>0</v>
      </c>
      <c r="AG170" s="279">
        <f t="shared" si="56"/>
        <v>0</v>
      </c>
      <c r="AH170" s="279">
        <f t="shared" si="56"/>
        <v>0</v>
      </c>
      <c r="AI170" s="279">
        <f t="shared" si="56"/>
        <v>0</v>
      </c>
      <c r="AJ170" s="279">
        <f t="shared" si="56"/>
        <v>0</v>
      </c>
    </row>
    <row r="171" spans="2:36" ht="16">
      <c r="B171" s="259" t="s">
        <v>226</v>
      </c>
      <c r="C171" s="259"/>
      <c r="D171" s="259"/>
      <c r="E171" s="303"/>
      <c r="F171" s="303"/>
      <c r="G171" s="279">
        <f>IF(G$159&gt;0,0,-G$159)</f>
        <v>1711502.8844630895</v>
      </c>
      <c r="H171" s="279">
        <f t="shared" ref="H171:AJ171" si="57">IF(H$159&gt;0,0,-H$159)</f>
        <v>3436709.8207053179</v>
      </c>
      <c r="I171" s="279">
        <f t="shared" si="57"/>
        <v>1668156.6691729287</v>
      </c>
      <c r="J171" s="279">
        <f t="shared" si="57"/>
        <v>616543.08517368103</v>
      </c>
      <c r="K171" s="279">
        <f t="shared" si="57"/>
        <v>545857.96277731424</v>
      </c>
      <c r="L171" s="279">
        <f t="shared" si="57"/>
        <v>0</v>
      </c>
      <c r="M171" s="279">
        <f t="shared" si="57"/>
        <v>0</v>
      </c>
      <c r="N171" s="279">
        <f t="shared" si="57"/>
        <v>0</v>
      </c>
      <c r="O171" s="279">
        <f t="shared" si="57"/>
        <v>0</v>
      </c>
      <c r="P171" s="279">
        <f t="shared" si="57"/>
        <v>0</v>
      </c>
      <c r="Q171" s="279">
        <f t="shared" si="57"/>
        <v>0</v>
      </c>
      <c r="R171" s="279">
        <f t="shared" si="57"/>
        <v>0</v>
      </c>
      <c r="S171" s="279">
        <f t="shared" si="57"/>
        <v>0</v>
      </c>
      <c r="T171" s="279">
        <f t="shared" si="57"/>
        <v>0</v>
      </c>
      <c r="U171" s="279">
        <f t="shared" si="57"/>
        <v>0</v>
      </c>
      <c r="V171" s="279">
        <f t="shared" si="57"/>
        <v>0</v>
      </c>
      <c r="W171" s="279">
        <f t="shared" si="57"/>
        <v>0</v>
      </c>
      <c r="X171" s="279">
        <f t="shared" si="57"/>
        <v>0</v>
      </c>
      <c r="Y171" s="279">
        <f t="shared" si="57"/>
        <v>0</v>
      </c>
      <c r="Z171" s="279">
        <f t="shared" si="57"/>
        <v>0</v>
      </c>
      <c r="AA171" s="279">
        <f t="shared" si="57"/>
        <v>0</v>
      </c>
      <c r="AB171" s="279">
        <f t="shared" si="57"/>
        <v>0</v>
      </c>
      <c r="AC171" s="279">
        <f t="shared" si="57"/>
        <v>0</v>
      </c>
      <c r="AD171" s="279">
        <f t="shared" si="57"/>
        <v>0</v>
      </c>
      <c r="AE171" s="279">
        <f t="shared" si="57"/>
        <v>0</v>
      </c>
      <c r="AF171" s="279">
        <f t="shared" si="57"/>
        <v>0</v>
      </c>
      <c r="AG171" s="279">
        <f t="shared" si="57"/>
        <v>0</v>
      </c>
      <c r="AH171" s="279">
        <f t="shared" si="57"/>
        <v>0</v>
      </c>
      <c r="AI171" s="279">
        <f t="shared" si="57"/>
        <v>0</v>
      </c>
      <c r="AJ171" s="279">
        <f t="shared" si="57"/>
        <v>0</v>
      </c>
    </row>
    <row r="172" spans="2:36" ht="16">
      <c r="B172" s="259" t="s">
        <v>224</v>
      </c>
      <c r="C172" s="259"/>
      <c r="D172" s="259"/>
      <c r="E172" s="303"/>
      <c r="F172" s="303"/>
      <c r="G172" s="279">
        <f t="shared" ref="G172:AJ172" si="58">IF(G$159&lt;=0,0,-MIN(G$159,F$165))</f>
        <v>0</v>
      </c>
      <c r="H172" s="279">
        <f t="shared" si="58"/>
        <v>0</v>
      </c>
      <c r="I172" s="279">
        <f t="shared" si="58"/>
        <v>0</v>
      </c>
      <c r="J172" s="279">
        <f t="shared" si="58"/>
        <v>0</v>
      </c>
      <c r="K172" s="279">
        <f t="shared" si="58"/>
        <v>0</v>
      </c>
      <c r="L172" s="279">
        <f t="shared" si="58"/>
        <v>-240803.25592376653</v>
      </c>
      <c r="M172" s="279">
        <f t="shared" si="58"/>
        <v>-1027079.2695726902</v>
      </c>
      <c r="N172" s="279">
        <f t="shared" si="58"/>
        <v>-1006791.2110506165</v>
      </c>
      <c r="O172" s="279">
        <f t="shared" si="58"/>
        <v>-986708.39262948697</v>
      </c>
      <c r="P172" s="279">
        <f t="shared" si="58"/>
        <v>-1069965.5085983113</v>
      </c>
      <c r="Q172" s="279">
        <f t="shared" si="58"/>
        <v>-1055689.6748958316</v>
      </c>
      <c r="R172" s="279">
        <f t="shared" si="58"/>
        <v>-1042680.2395098765</v>
      </c>
      <c r="S172" s="279">
        <f t="shared" si="58"/>
        <v>-1030992.3013569459</v>
      </c>
      <c r="T172" s="279">
        <f t="shared" si="58"/>
        <v>-518060.56875480502</v>
      </c>
      <c r="U172" s="279">
        <f t="shared" si="58"/>
        <v>0</v>
      </c>
      <c r="V172" s="279">
        <f t="shared" si="58"/>
        <v>0</v>
      </c>
      <c r="W172" s="279">
        <f t="shared" si="58"/>
        <v>0</v>
      </c>
      <c r="X172" s="279">
        <f t="shared" si="58"/>
        <v>0</v>
      </c>
      <c r="Y172" s="279">
        <f t="shared" si="58"/>
        <v>0</v>
      </c>
      <c r="Z172" s="279">
        <f t="shared" si="58"/>
        <v>0</v>
      </c>
      <c r="AA172" s="279">
        <f t="shared" si="58"/>
        <v>0</v>
      </c>
      <c r="AB172" s="279">
        <f t="shared" si="58"/>
        <v>0</v>
      </c>
      <c r="AC172" s="279">
        <f t="shared" si="58"/>
        <v>0</v>
      </c>
      <c r="AD172" s="279">
        <f t="shared" si="58"/>
        <v>0</v>
      </c>
      <c r="AE172" s="279">
        <f t="shared" si="58"/>
        <v>0</v>
      </c>
      <c r="AF172" s="279">
        <f t="shared" si="58"/>
        <v>0</v>
      </c>
      <c r="AG172" s="279">
        <f t="shared" si="58"/>
        <v>0</v>
      </c>
      <c r="AH172" s="279">
        <f t="shared" si="58"/>
        <v>0</v>
      </c>
      <c r="AI172" s="279">
        <f t="shared" si="58"/>
        <v>0</v>
      </c>
      <c r="AJ172" s="279">
        <f t="shared" si="58"/>
        <v>0</v>
      </c>
    </row>
    <row r="173" spans="2:36" ht="16">
      <c r="B173" s="259" t="s">
        <v>227</v>
      </c>
      <c r="C173" s="259"/>
      <c r="D173" s="259"/>
      <c r="E173" s="303"/>
      <c r="F173" s="303"/>
      <c r="G173" s="279">
        <f>SUM(G170:G172)</f>
        <v>1711502.8844630895</v>
      </c>
      <c r="H173" s="279">
        <f t="shared" ref="H173:AJ173" si="59">SUM(H170:H172)</f>
        <v>5148212.7051684074</v>
      </c>
      <c r="I173" s="279">
        <f t="shared" si="59"/>
        <v>6816369.3743413361</v>
      </c>
      <c r="J173" s="279">
        <f t="shared" si="59"/>
        <v>7432912.4595150175</v>
      </c>
      <c r="K173" s="279">
        <f t="shared" si="59"/>
        <v>7978770.4222923312</v>
      </c>
      <c r="L173" s="279">
        <f t="shared" si="59"/>
        <v>7737967.1663685646</v>
      </c>
      <c r="M173" s="279">
        <f t="shared" si="59"/>
        <v>6710887.8967958745</v>
      </c>
      <c r="N173" s="279">
        <f t="shared" si="59"/>
        <v>5704096.6857452579</v>
      </c>
      <c r="O173" s="279">
        <f t="shared" si="59"/>
        <v>4717388.2931157704</v>
      </c>
      <c r="P173" s="279">
        <f t="shared" si="59"/>
        <v>3647422.7845174591</v>
      </c>
      <c r="Q173" s="279">
        <f t="shared" si="59"/>
        <v>2591733.1096216273</v>
      </c>
      <c r="R173" s="279">
        <f t="shared" si="59"/>
        <v>1549052.8701117509</v>
      </c>
      <c r="S173" s="279">
        <f t="shared" si="59"/>
        <v>518060.56875480502</v>
      </c>
      <c r="T173" s="279">
        <f t="shared" si="59"/>
        <v>0</v>
      </c>
      <c r="U173" s="279">
        <f t="shared" si="59"/>
        <v>0</v>
      </c>
      <c r="V173" s="279">
        <f t="shared" si="59"/>
        <v>0</v>
      </c>
      <c r="W173" s="279">
        <f t="shared" si="59"/>
        <v>0</v>
      </c>
      <c r="X173" s="279">
        <f t="shared" si="59"/>
        <v>0</v>
      </c>
      <c r="Y173" s="279">
        <f t="shared" si="59"/>
        <v>0</v>
      </c>
      <c r="Z173" s="279">
        <f t="shared" si="59"/>
        <v>0</v>
      </c>
      <c r="AA173" s="279">
        <f t="shared" si="59"/>
        <v>0</v>
      </c>
      <c r="AB173" s="279">
        <f t="shared" si="59"/>
        <v>0</v>
      </c>
      <c r="AC173" s="279">
        <f t="shared" si="59"/>
        <v>0</v>
      </c>
      <c r="AD173" s="279">
        <f t="shared" si="59"/>
        <v>0</v>
      </c>
      <c r="AE173" s="279">
        <f t="shared" si="59"/>
        <v>0</v>
      </c>
      <c r="AF173" s="279">
        <f t="shared" si="59"/>
        <v>0</v>
      </c>
      <c r="AG173" s="279">
        <f t="shared" si="59"/>
        <v>0</v>
      </c>
      <c r="AH173" s="279">
        <f t="shared" si="59"/>
        <v>0</v>
      </c>
      <c r="AI173" s="279">
        <f t="shared" si="59"/>
        <v>0</v>
      </c>
      <c r="AJ173" s="279">
        <f t="shared" si="59"/>
        <v>0</v>
      </c>
    </row>
    <row r="174" spans="2:36" ht="16">
      <c r="B174" s="259"/>
      <c r="C174" s="259"/>
      <c r="D174" s="259"/>
      <c r="E174" s="303"/>
      <c r="F174" s="303"/>
      <c r="G174" s="303"/>
      <c r="H174" s="303"/>
      <c r="I174" s="303"/>
      <c r="J174" s="303"/>
      <c r="K174" s="303"/>
      <c r="L174" s="303"/>
      <c r="M174" s="303"/>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row>
    <row r="175" spans="2:36" ht="16">
      <c r="B175" s="259" t="s">
        <v>228</v>
      </c>
      <c r="C175" s="259"/>
      <c r="D175" s="259"/>
      <c r="E175" s="303"/>
      <c r="F175" s="303"/>
      <c r="G175" s="279">
        <f>G159+G171+G172</f>
        <v>0</v>
      </c>
      <c r="H175" s="279">
        <f t="shared" ref="H175:AJ175" si="60">H159+H171+H172</f>
        <v>0</v>
      </c>
      <c r="I175" s="279">
        <f t="shared" si="60"/>
        <v>0</v>
      </c>
      <c r="J175" s="279">
        <f t="shared" si="60"/>
        <v>0</v>
      </c>
      <c r="K175" s="279">
        <f t="shared" si="60"/>
        <v>0</v>
      </c>
      <c r="L175" s="279">
        <f t="shared" si="60"/>
        <v>0</v>
      </c>
      <c r="M175" s="279">
        <f t="shared" si="60"/>
        <v>0</v>
      </c>
      <c r="N175" s="279">
        <f t="shared" si="60"/>
        <v>0</v>
      </c>
      <c r="O175" s="279">
        <f t="shared" si="60"/>
        <v>0</v>
      </c>
      <c r="P175" s="279">
        <f t="shared" si="60"/>
        <v>0</v>
      </c>
      <c r="Q175" s="279">
        <f t="shared" si="60"/>
        <v>0</v>
      </c>
      <c r="R175" s="279">
        <f t="shared" si="60"/>
        <v>0</v>
      </c>
      <c r="S175" s="279">
        <f t="shared" si="60"/>
        <v>0</v>
      </c>
      <c r="T175" s="279">
        <f t="shared" si="60"/>
        <v>499712.02891288616</v>
      </c>
      <c r="U175" s="279">
        <f t="shared" si="60"/>
        <v>1059765.2496165084</v>
      </c>
      <c r="V175" s="279">
        <f t="shared" si="60"/>
        <v>1002262.845649896</v>
      </c>
      <c r="W175" s="279">
        <f t="shared" si="60"/>
        <v>942678.18289672246</v>
      </c>
      <c r="X175" s="279">
        <f t="shared" si="60"/>
        <v>874376.68839861418</v>
      </c>
      <c r="Y175" s="279">
        <f t="shared" si="60"/>
        <v>803867.01746124949</v>
      </c>
      <c r="Z175" s="279">
        <f t="shared" si="60"/>
        <v>844576.71142253105</v>
      </c>
      <c r="AA175" s="279">
        <f t="shared" si="60"/>
        <v>0</v>
      </c>
      <c r="AB175" s="279">
        <f t="shared" si="60"/>
        <v>0</v>
      </c>
      <c r="AC175" s="279">
        <f t="shared" si="60"/>
        <v>0</v>
      </c>
      <c r="AD175" s="279">
        <f t="shared" si="60"/>
        <v>0</v>
      </c>
      <c r="AE175" s="279">
        <f t="shared" si="60"/>
        <v>0</v>
      </c>
      <c r="AF175" s="279">
        <f t="shared" si="60"/>
        <v>0</v>
      </c>
      <c r="AG175" s="279">
        <f t="shared" si="60"/>
        <v>0</v>
      </c>
      <c r="AH175" s="279">
        <f t="shared" si="60"/>
        <v>0</v>
      </c>
      <c r="AI175" s="279">
        <f t="shared" si="60"/>
        <v>0</v>
      </c>
      <c r="AJ175" s="279">
        <f t="shared" si="60"/>
        <v>0</v>
      </c>
    </row>
    <row r="176" spans="2:36" ht="16" thickBot="1">
      <c r="B176" s="305"/>
      <c r="C176" s="305"/>
      <c r="D176" s="305"/>
      <c r="E176" s="305"/>
      <c r="F176" s="305"/>
      <c r="G176" s="305"/>
      <c r="H176" s="305"/>
      <c r="I176" s="305"/>
      <c r="J176" s="305"/>
      <c r="K176" s="305"/>
      <c r="L176" s="305"/>
      <c r="M176" s="305"/>
      <c r="N176" s="305"/>
      <c r="O176" s="305"/>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row>
    <row r="177" spans="2:36" s="29" customFormat="1" ht="16">
      <c r="B177" s="259"/>
      <c r="C177" s="259"/>
      <c r="D177" s="259"/>
      <c r="E177" s="259"/>
      <c r="F177" s="274"/>
      <c r="G177" s="284"/>
      <c r="H177" s="285"/>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row>
    <row r="178" spans="2:36" s="29" customFormat="1" ht="16">
      <c r="B178" s="258" t="s">
        <v>230</v>
      </c>
      <c r="C178" s="258"/>
      <c r="D178" s="258"/>
      <c r="E178" s="259"/>
      <c r="F178" s="274"/>
      <c r="G178" s="284"/>
      <c r="H178" s="285"/>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row>
    <row r="179" spans="2:36" s="29" customFormat="1" ht="16">
      <c r="B179" s="259" t="s">
        <v>231</v>
      </c>
      <c r="C179" s="259"/>
      <c r="D179" s="259"/>
      <c r="E179" s="259"/>
      <c r="F179" s="274"/>
      <c r="G179" s="345">
        <f>IF(OR(Inputs!$G$79="No",Inputs!$Q$24="Performance-Based",Inputs!$Q$24="Neither"),0,IF(AND(Inputs!$Q$25="ITC",G$2=1),Inputs!$Q$28,IF(G$2&gt;1,0,IF(Inputs!$Q$25="Cash Grant",0,"ERROR"))))</f>
        <v>4889175</v>
      </c>
      <c r="H179" s="345">
        <f>IF(OR(Inputs!$G$79="No",Inputs!$Q$24="Performance-Based",Inputs!$Q$24="Neither"),0,IF(AND(Inputs!$Q$25="ITC",H$2=1),Inputs!$Q$28,IF(H$2&gt;1,0,IF(Inputs!$Q$25="Cash Grant",0,"ERROR"))))</f>
        <v>0</v>
      </c>
      <c r="I179" s="345">
        <f>IF(OR(Inputs!$G$79="No",Inputs!$Q$24="Performance-Based",Inputs!$Q$24="Neither"),0,IF(AND(Inputs!$Q$25="ITC",I$2=1),Inputs!$Q$28,IF(I$2&gt;1,0,IF(Inputs!$Q$25="Cash Grant",0,"ERROR"))))</f>
        <v>0</v>
      </c>
      <c r="J179" s="345">
        <f>IF(OR(Inputs!$G$79="No",Inputs!$Q$24="Performance-Based",Inputs!$Q$24="Neither"),0,IF(AND(Inputs!$Q$25="ITC",J$2=1),Inputs!$Q$28,IF(J$2&gt;1,0,IF(Inputs!$Q$25="Cash Grant",0,"ERROR"))))</f>
        <v>0</v>
      </c>
      <c r="K179" s="345">
        <f>IF(OR(Inputs!$G$79="No",Inputs!$Q$24="Performance-Based",Inputs!$Q$24="Neither"),0,IF(AND(Inputs!$Q$25="ITC",K$2=1),Inputs!$Q$28,IF(K$2&gt;1,0,IF(Inputs!$Q$25="Cash Grant",0,"ERROR"))))</f>
        <v>0</v>
      </c>
      <c r="L179" s="345">
        <f>IF(OR(Inputs!$G$79="No",Inputs!$Q$24="Performance-Based",Inputs!$Q$24="Neither"),0,IF(AND(Inputs!$Q$25="ITC",L$2=1),Inputs!$Q$28,IF(L$2&gt;1,0,IF(Inputs!$Q$25="Cash Grant",0,"ERROR"))))</f>
        <v>0</v>
      </c>
      <c r="M179" s="345">
        <f>IF(OR(Inputs!$G$79="No",Inputs!$Q$24="Performance-Based",Inputs!$Q$24="Neither"),0,IF(AND(Inputs!$Q$25="ITC",M$2=1),Inputs!$Q$28,IF(M$2&gt;1,0,IF(Inputs!$Q$25="Cash Grant",0,"ERROR"))))</f>
        <v>0</v>
      </c>
      <c r="N179" s="345">
        <f>IF(OR(Inputs!$G$79="No",Inputs!$Q$24="Performance-Based",Inputs!$Q$24="Neither"),0,IF(AND(Inputs!$Q$25="ITC",N$2=1),Inputs!$Q$28,IF(N$2&gt;1,0,IF(Inputs!$Q$25="Cash Grant",0,"ERROR"))))</f>
        <v>0</v>
      </c>
      <c r="O179" s="345">
        <f>IF(OR(Inputs!$G$79="No",Inputs!$Q$24="Performance-Based",Inputs!$Q$24="Neither"),0,IF(AND(Inputs!$Q$25="ITC",O$2=1),Inputs!$Q$28,IF(O$2&gt;1,0,IF(Inputs!$Q$25="Cash Grant",0,"ERROR"))))</f>
        <v>0</v>
      </c>
      <c r="P179" s="345">
        <f>IF(OR(Inputs!$G$79="No",Inputs!$Q$24="Performance-Based",Inputs!$Q$24="Neither"),0,IF(AND(Inputs!$Q$25="ITC",P$2=1),Inputs!$Q$28,IF(P$2&gt;1,0,IF(Inputs!$Q$25="Cash Grant",0,"ERROR"))))</f>
        <v>0</v>
      </c>
      <c r="Q179" s="345">
        <f>IF(OR(Inputs!$G$79="No",Inputs!$Q$24="Performance-Based",Inputs!$Q$24="Neither"),0,IF(AND(Inputs!$Q$25="ITC",Q$2=1),Inputs!$Q$28,IF(Q$2&gt;1,0,IF(Inputs!$Q$25="Cash Grant",0,"ERROR"))))</f>
        <v>0</v>
      </c>
      <c r="R179" s="345">
        <f>IF(OR(Inputs!$G$79="No",Inputs!$Q$24="Performance-Based",Inputs!$Q$24="Neither"),0,IF(AND(Inputs!$Q$25="ITC",R$2=1),Inputs!$Q$28,IF(R$2&gt;1,0,IF(Inputs!$Q$25="Cash Grant",0,"ERROR"))))</f>
        <v>0</v>
      </c>
      <c r="S179" s="345">
        <f>IF(OR(Inputs!$G$79="No",Inputs!$Q$24="Performance-Based",Inputs!$Q$24="Neither"),0,IF(AND(Inputs!$Q$25="ITC",S$2=1),Inputs!$Q$28,IF(S$2&gt;1,0,IF(Inputs!$Q$25="Cash Grant",0,"ERROR"))))</f>
        <v>0</v>
      </c>
      <c r="T179" s="345">
        <f>IF(OR(Inputs!$G$79="No",Inputs!$Q$24="Performance-Based",Inputs!$Q$24="Neither"),0,IF(AND(Inputs!$Q$25="ITC",T$2=1),Inputs!$Q$28,IF(T$2&gt;1,0,IF(Inputs!$Q$25="Cash Grant",0,"ERROR"))))</f>
        <v>0</v>
      </c>
      <c r="U179" s="345">
        <f>IF(OR(Inputs!$G$79="No",Inputs!$Q$24="Performance-Based",Inputs!$Q$24="Neither"),0,IF(AND(Inputs!$Q$25="ITC",U$2=1),Inputs!$Q$28,IF(U$2&gt;1,0,IF(Inputs!$Q$25="Cash Grant",0,"ERROR"))))</f>
        <v>0</v>
      </c>
      <c r="V179" s="345">
        <f>IF(OR(Inputs!$G$79="No",Inputs!$Q$24="Performance-Based",Inputs!$Q$24="Neither"),0,IF(AND(Inputs!$Q$25="ITC",V$2=1),Inputs!$Q$28,IF(V$2&gt;1,0,IF(Inputs!$Q$25="Cash Grant",0,"ERROR"))))</f>
        <v>0</v>
      </c>
      <c r="W179" s="345">
        <f>IF(OR(Inputs!$G$79="No",Inputs!$Q$24="Performance-Based",Inputs!$Q$24="Neither"),0,IF(AND(Inputs!$Q$25="ITC",W$2=1),Inputs!$Q$28,IF(W$2&gt;1,0,IF(Inputs!$Q$25="Cash Grant",0,"ERROR"))))</f>
        <v>0</v>
      </c>
      <c r="X179" s="345">
        <f>IF(OR(Inputs!$G$79="No",Inputs!$Q$24="Performance-Based",Inputs!$Q$24="Neither"),0,IF(AND(Inputs!$Q$25="ITC",X$2=1),Inputs!$Q$28,IF(X$2&gt;1,0,IF(Inputs!$Q$25="Cash Grant",0,"ERROR"))))</f>
        <v>0</v>
      </c>
      <c r="Y179" s="345">
        <f>IF(OR(Inputs!$G$79="No",Inputs!$Q$24="Performance-Based",Inputs!$Q$24="Neither"),0,IF(AND(Inputs!$Q$25="ITC",Y$2=1),Inputs!$Q$28,IF(Y$2&gt;1,0,IF(Inputs!$Q$25="Cash Grant",0,"ERROR"))))</f>
        <v>0</v>
      </c>
      <c r="Z179" s="345">
        <f>IF(OR(Inputs!$G$79="No",Inputs!$Q$24="Performance-Based",Inputs!$Q$24="Neither"),0,IF(AND(Inputs!$Q$25="ITC",Z$2=1),Inputs!$Q$28,IF(Z$2&gt;1,0,IF(Inputs!$Q$25="Cash Grant",0,"ERROR"))))</f>
        <v>0</v>
      </c>
      <c r="AA179" s="345">
        <f>IF(OR(Inputs!$G$79="No",Inputs!$Q$24="Performance-Based",Inputs!$Q$24="Neither"),0,IF(AND(Inputs!$Q$25="ITC",AA$2=1),Inputs!$Q$28,IF(AA$2&gt;1,0,IF(Inputs!$Q$25="Cash Grant",0,"ERROR"))))</f>
        <v>0</v>
      </c>
      <c r="AB179" s="345">
        <f>IF(OR(Inputs!$G$79="No",Inputs!$Q$24="Performance-Based",Inputs!$Q$24="Neither"),0,IF(AND(Inputs!$Q$25="ITC",AB$2=1),Inputs!$Q$28,IF(AB$2&gt;1,0,IF(Inputs!$Q$25="Cash Grant",0,"ERROR"))))</f>
        <v>0</v>
      </c>
      <c r="AC179" s="345">
        <f>IF(OR(Inputs!$G$79="No",Inputs!$Q$24="Performance-Based",Inputs!$Q$24="Neither"),0,IF(AND(Inputs!$Q$25="ITC",AC$2=1),Inputs!$Q$28,IF(AC$2&gt;1,0,IF(Inputs!$Q$25="Cash Grant",0,"ERROR"))))</f>
        <v>0</v>
      </c>
      <c r="AD179" s="345">
        <f>IF(OR(Inputs!$G$79="No",Inputs!$Q$24="Performance-Based",Inputs!$Q$24="Neither"),0,IF(AND(Inputs!$Q$25="ITC",AD$2=1),Inputs!$Q$28,IF(AD$2&gt;1,0,IF(Inputs!$Q$25="Cash Grant",0,"ERROR"))))</f>
        <v>0</v>
      </c>
      <c r="AE179" s="345">
        <f>IF(OR(Inputs!$G$79="No",Inputs!$Q$24="Performance-Based",Inputs!$Q$24="Neither"),0,IF(AND(Inputs!$Q$25="ITC",AE$2=1),Inputs!$Q$28,IF(AE$2&gt;1,0,IF(Inputs!$Q$25="Cash Grant",0,"ERROR"))))</f>
        <v>0</v>
      </c>
      <c r="AF179" s="345">
        <f>IF(OR(Inputs!$G$79="No",Inputs!$Q$24="Performance-Based",Inputs!$Q$24="Neither"),0,IF(AND(Inputs!$Q$25="ITC",AF$2=1),Inputs!$Q$28,IF(AF$2&gt;1,0,IF(Inputs!$Q$25="Cash Grant",0,"ERROR"))))</f>
        <v>0</v>
      </c>
      <c r="AG179" s="345">
        <f>IF(OR(Inputs!$G$79="No",Inputs!$Q$24="Performance-Based",Inputs!$Q$24="Neither"),0,IF(AND(Inputs!$Q$25="ITC",AG$2=1),Inputs!$Q$28,IF(AG$2&gt;1,0,IF(Inputs!$Q$25="Cash Grant",0,"ERROR"))))</f>
        <v>0</v>
      </c>
      <c r="AH179" s="345">
        <f>IF(OR(Inputs!$G$79="No",Inputs!$Q$24="Performance-Based",Inputs!$Q$24="Neither"),0,IF(AND(Inputs!$Q$25="ITC",AH$2=1),Inputs!$Q$28,IF(AH$2&gt;1,0,IF(Inputs!$Q$25="Cash Grant",0,"ERROR"))))</f>
        <v>0</v>
      </c>
      <c r="AI179" s="345">
        <f>IF(OR(Inputs!$G$79="No",Inputs!$Q$24="Performance-Based",Inputs!$Q$24="Neither"),0,IF(AND(Inputs!$Q$25="ITC",AI$2=1),Inputs!$Q$28,IF(AI$2&gt;1,0,IF(Inputs!$Q$25="Cash Grant",0,"ERROR"))))</f>
        <v>0</v>
      </c>
      <c r="AJ179" s="345">
        <f>IF(OR(Inputs!$G$79="No",Inputs!$Q$24="Performance-Based",Inputs!$Q$24="Neither"),0,IF(AND(Inputs!$Q$25="ITC",AJ$2=1),Inputs!$Q$28,IF(AJ$2&gt;1,0,IF(Inputs!$Q$25="Cash Grant",0,"ERROR"))))</f>
        <v>0</v>
      </c>
    </row>
    <row r="180" spans="2:36" s="29" customFormat="1" ht="16">
      <c r="B180" s="259" t="s">
        <v>191</v>
      </c>
      <c r="C180" s="259"/>
      <c r="D180" s="259"/>
      <c r="E180" s="259"/>
      <c r="F180" s="274"/>
      <c r="G180" s="279">
        <f>IF(OR(Inputs!$G$79="No",Inputs!$Q$24="Cost-Based",Inputs!$Q$24="Neither"),0,IF(Inputs!$Q$29="Tax Credit",IF(G$2&gt;Inputs!$Q$32,0,Inputs!$Q$30/100*G$16*Inputs!$Q$31*G$10*(1-MIN(Inputs!$Q$34/Inputs!$G$30,50%))),0))</f>
        <v>0</v>
      </c>
      <c r="H180" s="279">
        <f>IF(OR(Inputs!$G$79="No",Inputs!$Q$24="Cost-Based",Inputs!$Q$24="Neither"),0,IF(Inputs!$Q$29="Tax Credit",IF(H$2&gt;Inputs!$Q$32,0,Inputs!$Q$30/100*H$16*Inputs!$Q$31*H$10*(1-MIN(Inputs!$Q$34/Inputs!$G$30,50%))),0))</f>
        <v>0</v>
      </c>
      <c r="I180" s="279">
        <f>IF(OR(Inputs!$G$79="No",Inputs!$Q$24="Cost-Based",Inputs!$Q$24="Neither"),0,IF(Inputs!$Q$29="Tax Credit",IF(I$2&gt;Inputs!$Q$32,0,Inputs!$Q$30/100*I$16*Inputs!$Q$31*I$10*(1-MIN(Inputs!$Q$34/Inputs!$G$30,50%))),0))</f>
        <v>0</v>
      </c>
      <c r="J180" s="279">
        <f>IF(OR(Inputs!$G$79="No",Inputs!$Q$24="Cost-Based",Inputs!$Q$24="Neither"),0,IF(Inputs!$Q$29="Tax Credit",IF(J$2&gt;Inputs!$Q$32,0,Inputs!$Q$30/100*J$16*Inputs!$Q$31*J$10*(1-MIN(Inputs!$Q$34/Inputs!$G$30,50%))),0))</f>
        <v>0</v>
      </c>
      <c r="K180" s="279">
        <f>IF(OR(Inputs!$G$79="No",Inputs!$Q$24="Cost-Based",Inputs!$Q$24="Neither"),0,IF(Inputs!$Q$29="Tax Credit",IF(K$2&gt;Inputs!$Q$32,0,Inputs!$Q$30/100*K$16*Inputs!$Q$31*K$10*(1-MIN(Inputs!$Q$34/Inputs!$G$30,50%))),0))</f>
        <v>0</v>
      </c>
      <c r="L180" s="279">
        <f>IF(OR(Inputs!$G$79="No",Inputs!$Q$24="Cost-Based",Inputs!$Q$24="Neither"),0,IF(Inputs!$Q$29="Tax Credit",IF(L$2&gt;Inputs!$Q$32,0,Inputs!$Q$30/100*L$16*Inputs!$Q$31*L$10*(1-MIN(Inputs!$Q$34/Inputs!$G$30,50%))),0))</f>
        <v>0</v>
      </c>
      <c r="M180" s="279">
        <f>IF(OR(Inputs!$G$79="No",Inputs!$Q$24="Cost-Based",Inputs!$Q$24="Neither"),0,IF(Inputs!$Q$29="Tax Credit",IF(M$2&gt;Inputs!$Q$32,0,Inputs!$Q$30/100*M$16*Inputs!$Q$31*M$10*(1-MIN(Inputs!$Q$34/Inputs!$G$30,50%))),0))</f>
        <v>0</v>
      </c>
      <c r="N180" s="279">
        <f>IF(OR(Inputs!$G$79="No",Inputs!$Q$24="Cost-Based",Inputs!$Q$24="Neither"),0,IF(Inputs!$Q$29="Tax Credit",IF(N$2&gt;Inputs!$Q$32,0,Inputs!$Q$30/100*N$16*Inputs!$Q$31*N$10*(1-MIN(Inputs!$Q$34/Inputs!$G$30,50%))),0))</f>
        <v>0</v>
      </c>
      <c r="O180" s="279">
        <f>IF(OR(Inputs!$G$79="No",Inputs!$Q$24="Cost-Based",Inputs!$Q$24="Neither"),0,IF(Inputs!$Q$29="Tax Credit",IF(O$2&gt;Inputs!$Q$32,0,Inputs!$Q$30/100*O$16*Inputs!$Q$31*O$10*(1-MIN(Inputs!$Q$34/Inputs!$G$30,50%))),0))</f>
        <v>0</v>
      </c>
      <c r="P180" s="279">
        <f>IF(OR(Inputs!$G$79="No",Inputs!$Q$24="Cost-Based",Inputs!$Q$24="Neither"),0,IF(Inputs!$Q$29="Tax Credit",IF(P$2&gt;Inputs!$Q$32,0,Inputs!$Q$30/100*P$16*Inputs!$Q$31*P$10*(1-MIN(Inputs!$Q$34/Inputs!$G$30,50%))),0))</f>
        <v>0</v>
      </c>
      <c r="Q180" s="279">
        <f>IF(OR(Inputs!$G$79="No",Inputs!$Q$24="Cost-Based",Inputs!$Q$24="Neither"),0,IF(Inputs!$Q$29="Tax Credit",IF(Q$2&gt;Inputs!$Q$32,0,Inputs!$Q$30/100*Q$16*Inputs!$Q$31*Q$10*(1-MIN(Inputs!$Q$34/Inputs!$G$30,50%))),0))</f>
        <v>0</v>
      </c>
      <c r="R180" s="279">
        <f>IF(OR(Inputs!$G$79="No",Inputs!$Q$24="Cost-Based",Inputs!$Q$24="Neither"),0,IF(Inputs!$Q$29="Tax Credit",IF(R$2&gt;Inputs!$Q$32,0,Inputs!$Q$30/100*R$16*Inputs!$Q$31*R$10*(1-MIN(Inputs!$Q$34/Inputs!$G$30,50%))),0))</f>
        <v>0</v>
      </c>
      <c r="S180" s="279">
        <f>IF(OR(Inputs!$G$79="No",Inputs!$Q$24="Cost-Based",Inputs!$Q$24="Neither"),0,IF(Inputs!$Q$29="Tax Credit",IF(S$2&gt;Inputs!$Q$32,0,Inputs!$Q$30/100*S$16*Inputs!$Q$31*S$10*(1-MIN(Inputs!$Q$34/Inputs!$G$30,50%))),0))</f>
        <v>0</v>
      </c>
      <c r="T180" s="279">
        <f>IF(OR(Inputs!$G$79="No",Inputs!$Q$24="Cost-Based",Inputs!$Q$24="Neither"),0,IF(Inputs!$Q$29="Tax Credit",IF(T$2&gt;Inputs!$Q$32,0,Inputs!$Q$30/100*T$16*Inputs!$Q$31*T$10*(1-MIN(Inputs!$Q$34/Inputs!$G$30,50%))),0))</f>
        <v>0</v>
      </c>
      <c r="U180" s="279">
        <f>IF(OR(Inputs!$G$79="No",Inputs!$Q$24="Cost-Based",Inputs!$Q$24="Neither"),0,IF(Inputs!$Q$29="Tax Credit",IF(U$2&gt;Inputs!$Q$32,0,Inputs!$Q$30/100*U$16*Inputs!$Q$31*U$10*(1-MIN(Inputs!$Q$34/Inputs!$G$30,50%))),0))</f>
        <v>0</v>
      </c>
      <c r="V180" s="279">
        <f>IF(OR(Inputs!$G$79="No",Inputs!$Q$24="Cost-Based",Inputs!$Q$24="Neither"),0,IF(Inputs!$Q$29="Tax Credit",IF(V$2&gt;Inputs!$Q$32,0,Inputs!$Q$30/100*V$16*Inputs!$Q$31*V$10*(1-MIN(Inputs!$Q$34/Inputs!$G$30,50%))),0))</f>
        <v>0</v>
      </c>
      <c r="W180" s="279">
        <f>IF(OR(Inputs!$G$79="No",Inputs!$Q$24="Cost-Based",Inputs!$Q$24="Neither"),0,IF(Inputs!$Q$29="Tax Credit",IF(W$2&gt;Inputs!$Q$32,0,Inputs!$Q$30/100*W$16*Inputs!$Q$31*W$10*(1-MIN(Inputs!$Q$34/Inputs!$G$30,50%))),0))</f>
        <v>0</v>
      </c>
      <c r="X180" s="279">
        <f>IF(OR(Inputs!$G$79="No",Inputs!$Q$24="Cost-Based",Inputs!$Q$24="Neither"),0,IF(Inputs!$Q$29="Tax Credit",IF(X$2&gt;Inputs!$Q$32,0,Inputs!$Q$30/100*X$16*Inputs!$Q$31*X$10*(1-MIN(Inputs!$Q$34/Inputs!$G$30,50%))),0))</f>
        <v>0</v>
      </c>
      <c r="Y180" s="279">
        <f>IF(OR(Inputs!$G$79="No",Inputs!$Q$24="Cost-Based",Inputs!$Q$24="Neither"),0,IF(Inputs!$Q$29="Tax Credit",IF(Y$2&gt;Inputs!$Q$32,0,Inputs!$Q$30/100*Y$16*Inputs!$Q$31*Y$10*(1-MIN(Inputs!$Q$34/Inputs!$G$30,50%))),0))</f>
        <v>0</v>
      </c>
      <c r="Z180" s="279">
        <f>IF(OR(Inputs!$G$79="No",Inputs!$Q$24="Cost-Based",Inputs!$Q$24="Neither"),0,IF(Inputs!$Q$29="Tax Credit",IF(Z$2&gt;Inputs!$Q$32,0,Inputs!$Q$30/100*Z$16*Inputs!$Q$31*Z$10*(1-MIN(Inputs!$Q$34/Inputs!$G$30,50%))),0))</f>
        <v>0</v>
      </c>
      <c r="AA180" s="279">
        <f>IF(OR(Inputs!$G$79="No",Inputs!$Q$24="Cost-Based",Inputs!$Q$24="Neither"),0,IF(Inputs!$Q$29="Tax Credit",IF(AA$2&gt;Inputs!$Q$32,0,Inputs!$Q$30/100*AA$16*Inputs!$Q$31*AA$10*(1-MIN(Inputs!$Q$34/Inputs!$G$30,50%))),0))</f>
        <v>0</v>
      </c>
      <c r="AB180" s="279">
        <f>IF(OR(Inputs!$G$79="No",Inputs!$Q$24="Cost-Based",Inputs!$Q$24="Neither"),0,IF(Inputs!$Q$29="Tax Credit",IF(AB$2&gt;Inputs!$Q$32,0,Inputs!$Q$30/100*AB$16*Inputs!$Q$31*AB$10*(1-MIN(Inputs!$Q$34/Inputs!$G$30,50%))),0))</f>
        <v>0</v>
      </c>
      <c r="AC180" s="279">
        <f>IF(OR(Inputs!$G$79="No",Inputs!$Q$24="Cost-Based",Inputs!$Q$24="Neither"),0,IF(Inputs!$Q$29="Tax Credit",IF(AC$2&gt;Inputs!$Q$32,0,Inputs!$Q$30/100*AC$16*Inputs!$Q$31*AC$10*(1-MIN(Inputs!$Q$34/Inputs!$G$30,50%))),0))</f>
        <v>0</v>
      </c>
      <c r="AD180" s="279">
        <f>IF(OR(Inputs!$G$79="No",Inputs!$Q$24="Cost-Based",Inputs!$Q$24="Neither"),0,IF(Inputs!$Q$29="Tax Credit",IF(AD$2&gt;Inputs!$Q$32,0,Inputs!$Q$30/100*AD$16*Inputs!$Q$31*AD$10*(1-MIN(Inputs!$Q$34/Inputs!$G$30,50%))),0))</f>
        <v>0</v>
      </c>
      <c r="AE180" s="279">
        <f>IF(OR(Inputs!$G$79="No",Inputs!$Q$24="Cost-Based",Inputs!$Q$24="Neither"),0,IF(Inputs!$Q$29="Tax Credit",IF(AE$2&gt;Inputs!$Q$32,0,Inputs!$Q$30/100*AE$16*Inputs!$Q$31*AE$10*(1-MIN(Inputs!$Q$34/Inputs!$G$30,50%))),0))</f>
        <v>0</v>
      </c>
      <c r="AF180" s="279">
        <f>IF(OR(Inputs!$G$79="No",Inputs!$Q$24="Cost-Based",Inputs!$Q$24="Neither"),0,IF(Inputs!$Q$29="Tax Credit",IF(AF$2&gt;Inputs!$Q$32,0,Inputs!$Q$30/100*AF$16*Inputs!$Q$31*AF$10*(1-MIN(Inputs!$Q$34/Inputs!$G$30,50%))),0))</f>
        <v>0</v>
      </c>
      <c r="AG180" s="279">
        <f>IF(OR(Inputs!$G$79="No",Inputs!$Q$24="Cost-Based",Inputs!$Q$24="Neither"),0,IF(Inputs!$Q$29="Tax Credit",IF(AG$2&gt;Inputs!$Q$32,0,Inputs!$Q$30/100*AG$16*Inputs!$Q$31*AG$10*(1-MIN(Inputs!$Q$34/Inputs!$G$30,50%))),0))</f>
        <v>0</v>
      </c>
      <c r="AH180" s="279">
        <f>IF(OR(Inputs!$G$79="No",Inputs!$Q$24="Cost-Based",Inputs!$Q$24="Neither"),0,IF(Inputs!$Q$29="Tax Credit",IF(AH$2&gt;Inputs!$Q$32,0,Inputs!$Q$30/100*AH$16*Inputs!$Q$31*AH$10*(1-MIN(Inputs!$Q$34/Inputs!$G$30,50%))),0))</f>
        <v>0</v>
      </c>
      <c r="AI180" s="279">
        <f>IF(OR(Inputs!$G$79="No",Inputs!$Q$24="Cost-Based",Inputs!$Q$24="Neither"),0,IF(Inputs!$Q$29="Tax Credit",IF(AI$2&gt;Inputs!$Q$32,0,Inputs!$Q$30/100*AI$16*Inputs!$Q$31*AI$10*(1-MIN(Inputs!$Q$34/Inputs!$G$30,50%))),0))</f>
        <v>0</v>
      </c>
      <c r="AJ180" s="279">
        <f>IF(OR(Inputs!$G$79="No",Inputs!$Q$24="Cost-Based",Inputs!$Q$24="Neither"),0,IF(Inputs!$Q$29="Tax Credit",IF(AJ$2&gt;Inputs!$Q$32,0,Inputs!$Q$30/100*AJ$16*Inputs!$Q$31*AJ$10*(1-MIN(Inputs!$Q$34/Inputs!$G$30,50%))),0))</f>
        <v>0</v>
      </c>
    </row>
    <row r="181" spans="2:36" s="29" customFormat="1" ht="16">
      <c r="B181" s="259"/>
      <c r="C181" s="259"/>
      <c r="D181" s="259"/>
      <c r="E181" s="259"/>
      <c r="F181" s="274"/>
      <c r="G181" s="279"/>
      <c r="H181" s="279"/>
      <c r="I181" s="279"/>
      <c r="J181" s="279"/>
      <c r="K181" s="279"/>
      <c r="L181" s="279"/>
      <c r="M181" s="279"/>
      <c r="N181" s="279"/>
      <c r="O181" s="279"/>
      <c r="P181" s="279"/>
      <c r="Q181" s="279"/>
      <c r="R181" s="279"/>
      <c r="S181" s="279"/>
      <c r="T181" s="279"/>
      <c r="U181" s="279"/>
      <c r="V181" s="279"/>
      <c r="W181" s="279"/>
      <c r="X181" s="279"/>
      <c r="Y181" s="279"/>
      <c r="Z181" s="279"/>
      <c r="AA181" s="279"/>
      <c r="AB181" s="279"/>
      <c r="AC181" s="279"/>
      <c r="AD181" s="279"/>
      <c r="AE181" s="279"/>
      <c r="AF181" s="279"/>
      <c r="AG181" s="279"/>
      <c r="AH181" s="279"/>
      <c r="AI181" s="279"/>
      <c r="AJ181" s="279"/>
    </row>
    <row r="182" spans="2:36" s="29" customFormat="1" ht="16">
      <c r="B182" s="259" t="s">
        <v>233</v>
      </c>
      <c r="C182" s="259"/>
      <c r="D182" s="259"/>
      <c r="E182" s="259"/>
      <c r="F182" s="274"/>
      <c r="G182" s="279">
        <f>SUM(G179:G180)</f>
        <v>4889175</v>
      </c>
      <c r="H182" s="279">
        <f t="shared" ref="H182:AJ182" si="61">SUM(H179:H180)</f>
        <v>0</v>
      </c>
      <c r="I182" s="279">
        <f t="shared" si="61"/>
        <v>0</v>
      </c>
      <c r="J182" s="279">
        <f t="shared" si="61"/>
        <v>0</v>
      </c>
      <c r="K182" s="279">
        <f t="shared" si="61"/>
        <v>0</v>
      </c>
      <c r="L182" s="279">
        <f t="shared" si="61"/>
        <v>0</v>
      </c>
      <c r="M182" s="279">
        <f t="shared" si="61"/>
        <v>0</v>
      </c>
      <c r="N182" s="279">
        <f t="shared" si="61"/>
        <v>0</v>
      </c>
      <c r="O182" s="279">
        <f t="shared" si="61"/>
        <v>0</v>
      </c>
      <c r="P182" s="279">
        <f t="shared" si="61"/>
        <v>0</v>
      </c>
      <c r="Q182" s="279">
        <f t="shared" si="61"/>
        <v>0</v>
      </c>
      <c r="R182" s="279">
        <f t="shared" si="61"/>
        <v>0</v>
      </c>
      <c r="S182" s="279">
        <f t="shared" si="61"/>
        <v>0</v>
      </c>
      <c r="T182" s="279">
        <f t="shared" si="61"/>
        <v>0</v>
      </c>
      <c r="U182" s="279">
        <f t="shared" si="61"/>
        <v>0</v>
      </c>
      <c r="V182" s="279">
        <f t="shared" si="61"/>
        <v>0</v>
      </c>
      <c r="W182" s="279">
        <f t="shared" si="61"/>
        <v>0</v>
      </c>
      <c r="X182" s="279">
        <f t="shared" si="61"/>
        <v>0</v>
      </c>
      <c r="Y182" s="279">
        <f t="shared" si="61"/>
        <v>0</v>
      </c>
      <c r="Z182" s="279">
        <f t="shared" si="61"/>
        <v>0</v>
      </c>
      <c r="AA182" s="279">
        <f t="shared" si="61"/>
        <v>0</v>
      </c>
      <c r="AB182" s="279">
        <f t="shared" si="61"/>
        <v>0</v>
      </c>
      <c r="AC182" s="279">
        <f t="shared" si="61"/>
        <v>0</v>
      </c>
      <c r="AD182" s="279">
        <f t="shared" si="61"/>
        <v>0</v>
      </c>
      <c r="AE182" s="279">
        <f t="shared" si="61"/>
        <v>0</v>
      </c>
      <c r="AF182" s="279">
        <f t="shared" si="61"/>
        <v>0</v>
      </c>
      <c r="AG182" s="279">
        <f t="shared" si="61"/>
        <v>0</v>
      </c>
      <c r="AH182" s="279">
        <f t="shared" si="61"/>
        <v>0</v>
      </c>
      <c r="AI182" s="279">
        <f t="shared" si="61"/>
        <v>0</v>
      </c>
      <c r="AJ182" s="279">
        <f t="shared" si="61"/>
        <v>0</v>
      </c>
    </row>
    <row r="183" spans="2:36" s="29" customFormat="1" ht="16">
      <c r="B183" s="259"/>
      <c r="C183" s="259"/>
      <c r="D183" s="259"/>
      <c r="E183" s="259"/>
      <c r="F183" s="274"/>
      <c r="G183" s="279"/>
      <c r="H183" s="279"/>
      <c r="I183" s="279"/>
      <c r="J183" s="279"/>
      <c r="K183" s="279"/>
      <c r="L183" s="279"/>
      <c r="M183" s="279"/>
      <c r="N183" s="279"/>
      <c r="O183" s="279"/>
      <c r="P183" s="279"/>
      <c r="Q183" s="279"/>
      <c r="R183" s="279"/>
      <c r="S183" s="279"/>
      <c r="T183" s="279"/>
      <c r="U183" s="279"/>
      <c r="V183" s="279"/>
      <c r="W183" s="279"/>
      <c r="X183" s="279"/>
      <c r="Y183" s="279"/>
      <c r="Z183" s="279"/>
      <c r="AA183" s="279"/>
      <c r="AB183" s="279"/>
      <c r="AC183" s="279"/>
      <c r="AD183" s="279"/>
      <c r="AE183" s="279"/>
      <c r="AF183" s="279"/>
      <c r="AG183" s="279"/>
      <c r="AH183" s="279"/>
      <c r="AI183" s="279"/>
      <c r="AJ183" s="279"/>
    </row>
    <row r="184" spans="2:36" s="29" customFormat="1" ht="16">
      <c r="B184" s="346" t="s">
        <v>234</v>
      </c>
      <c r="C184" s="346"/>
      <c r="D184" s="346"/>
      <c r="E184" s="259"/>
      <c r="F184" s="274"/>
      <c r="G184" s="279"/>
      <c r="H184" s="279"/>
      <c r="I184" s="279"/>
      <c r="J184" s="279"/>
      <c r="K184" s="279"/>
      <c r="L184" s="279"/>
      <c r="M184" s="279"/>
      <c r="N184" s="279"/>
      <c r="O184" s="279"/>
      <c r="P184" s="279"/>
      <c r="Q184" s="279"/>
      <c r="R184" s="279"/>
      <c r="S184" s="279"/>
      <c r="T184" s="279"/>
      <c r="U184" s="279"/>
      <c r="V184" s="279"/>
      <c r="W184" s="279"/>
      <c r="X184" s="279"/>
      <c r="Y184" s="279"/>
      <c r="Z184" s="279"/>
      <c r="AA184" s="279"/>
      <c r="AB184" s="279"/>
      <c r="AC184" s="279"/>
      <c r="AD184" s="279"/>
      <c r="AE184" s="279"/>
      <c r="AF184" s="279"/>
      <c r="AG184" s="279"/>
      <c r="AH184" s="279"/>
      <c r="AI184" s="279"/>
      <c r="AJ184" s="279"/>
    </row>
    <row r="185" spans="2:36" s="29" customFormat="1" ht="16">
      <c r="B185" s="259" t="str">
        <f>B73</f>
        <v>Federal Income Taxes Saved / (Paid), before ITC/PTC</v>
      </c>
      <c r="C185" s="259"/>
      <c r="D185" s="259"/>
      <c r="E185" s="259"/>
      <c r="F185" s="274"/>
      <c r="G185" s="279" t="str">
        <f>IF(Inputs!$G$81="as generated","N/A",'Cash Flow'!G73)</f>
        <v>N/A</v>
      </c>
      <c r="H185" s="279" t="str">
        <f>IF(Inputs!$G$81="as generated","N/A",'Cash Flow'!H73)</f>
        <v>N/A</v>
      </c>
      <c r="I185" s="279" t="str">
        <f>IF(Inputs!$G$81="as generated","N/A",'Cash Flow'!I73)</f>
        <v>N/A</v>
      </c>
      <c r="J185" s="279" t="str">
        <f>IF(Inputs!$G$81="as generated","N/A",'Cash Flow'!J73)</f>
        <v>N/A</v>
      </c>
      <c r="K185" s="279" t="str">
        <f>IF(Inputs!$G$81="as generated","N/A",'Cash Flow'!K73)</f>
        <v>N/A</v>
      </c>
      <c r="L185" s="279" t="str">
        <f>IF(Inputs!$G$81="as generated","N/A",'Cash Flow'!L73)</f>
        <v>N/A</v>
      </c>
      <c r="M185" s="279" t="str">
        <f>IF(Inputs!$G$81="as generated","N/A",'Cash Flow'!M73)</f>
        <v>N/A</v>
      </c>
      <c r="N185" s="279" t="str">
        <f>IF(Inputs!$G$81="as generated","N/A",'Cash Flow'!N73)</f>
        <v>N/A</v>
      </c>
      <c r="O185" s="279" t="str">
        <f>IF(Inputs!$G$81="as generated","N/A",'Cash Flow'!O73)</f>
        <v>N/A</v>
      </c>
      <c r="P185" s="279" t="str">
        <f>IF(Inputs!$G$81="as generated","N/A",'Cash Flow'!P73)</f>
        <v>N/A</v>
      </c>
      <c r="Q185" s="279" t="str">
        <f>IF(Inputs!$G$81="as generated","N/A",'Cash Flow'!Q73)</f>
        <v>N/A</v>
      </c>
      <c r="R185" s="279" t="str">
        <f>IF(Inputs!$G$81="as generated","N/A",'Cash Flow'!R73)</f>
        <v>N/A</v>
      </c>
      <c r="S185" s="279" t="str">
        <f>IF(Inputs!$G$81="as generated","N/A",'Cash Flow'!S73)</f>
        <v>N/A</v>
      </c>
      <c r="T185" s="279" t="str">
        <f>IF(Inputs!$G$81="as generated","N/A",'Cash Flow'!T73)</f>
        <v>N/A</v>
      </c>
      <c r="U185" s="279" t="str">
        <f>IF(Inputs!$G$81="as generated","N/A",'Cash Flow'!U73)</f>
        <v>N/A</v>
      </c>
      <c r="V185" s="279" t="str">
        <f>IF(Inputs!$G$81="as generated","N/A",'Cash Flow'!V73)</f>
        <v>N/A</v>
      </c>
      <c r="W185" s="279" t="str">
        <f>IF(Inputs!$G$81="as generated","N/A",'Cash Flow'!W73)</f>
        <v>N/A</v>
      </c>
      <c r="X185" s="279" t="str">
        <f>IF(Inputs!$G$81="as generated","N/A",'Cash Flow'!X73)</f>
        <v>N/A</v>
      </c>
      <c r="Y185" s="279" t="str">
        <f>IF(Inputs!$G$81="as generated","N/A",'Cash Flow'!Y73)</f>
        <v>N/A</v>
      </c>
      <c r="Z185" s="279" t="str">
        <f>IF(Inputs!$G$81="as generated","N/A",'Cash Flow'!Z73)</f>
        <v>N/A</v>
      </c>
      <c r="AA185" s="279" t="str">
        <f>IF(Inputs!$G$81="as generated","N/A",'Cash Flow'!AA73)</f>
        <v>N/A</v>
      </c>
      <c r="AB185" s="279" t="str">
        <f>IF(Inputs!$G$81="as generated","N/A",'Cash Flow'!AB73)</f>
        <v>N/A</v>
      </c>
      <c r="AC185" s="279" t="str">
        <f>IF(Inputs!$G$81="as generated","N/A",'Cash Flow'!AC73)</f>
        <v>N/A</v>
      </c>
      <c r="AD185" s="279" t="str">
        <f>IF(Inputs!$G$81="as generated","N/A",'Cash Flow'!AD73)</f>
        <v>N/A</v>
      </c>
      <c r="AE185" s="279" t="str">
        <f>IF(Inputs!$G$81="as generated","N/A",'Cash Flow'!AE73)</f>
        <v>N/A</v>
      </c>
      <c r="AF185" s="279" t="str">
        <f>IF(Inputs!$G$81="as generated","N/A",'Cash Flow'!AF73)</f>
        <v>N/A</v>
      </c>
      <c r="AG185" s="279" t="str">
        <f>IF(Inputs!$G$81="as generated","N/A",'Cash Flow'!AG73)</f>
        <v>N/A</v>
      </c>
      <c r="AH185" s="279" t="str">
        <f>IF(Inputs!$G$81="as generated","N/A",'Cash Flow'!AH73)</f>
        <v>N/A</v>
      </c>
      <c r="AI185" s="279" t="str">
        <f>IF(Inputs!$G$81="as generated","N/A",'Cash Flow'!AI73)</f>
        <v>N/A</v>
      </c>
      <c r="AJ185" s="279" t="str">
        <f>IF(Inputs!$G$81="as generated","N/A",'Cash Flow'!AJ73)</f>
        <v>N/A</v>
      </c>
    </row>
    <row r="186" spans="2:36" s="29" customFormat="1" ht="16">
      <c r="B186" s="259"/>
      <c r="C186" s="259"/>
      <c r="D186" s="259"/>
      <c r="E186" s="259"/>
      <c r="F186" s="274"/>
      <c r="G186" s="279"/>
      <c r="H186" s="279"/>
      <c r="I186" s="279"/>
      <c r="J186" s="279"/>
      <c r="K186" s="279"/>
      <c r="L186" s="279"/>
      <c r="M186" s="279"/>
      <c r="N186" s="279"/>
      <c r="O186" s="279"/>
      <c r="P186" s="279"/>
      <c r="Q186" s="279"/>
      <c r="R186" s="279"/>
      <c r="S186" s="279"/>
      <c r="T186" s="279"/>
      <c r="U186" s="279"/>
      <c r="V186" s="279"/>
      <c r="W186" s="279"/>
      <c r="X186" s="279"/>
      <c r="Y186" s="279"/>
      <c r="Z186" s="279"/>
      <c r="AA186" s="279"/>
      <c r="AB186" s="279"/>
      <c r="AC186" s="279"/>
      <c r="AD186" s="279"/>
      <c r="AE186" s="279"/>
      <c r="AF186" s="279"/>
      <c r="AG186" s="279"/>
      <c r="AH186" s="279"/>
      <c r="AI186" s="279"/>
      <c r="AJ186" s="279"/>
    </row>
    <row r="187" spans="2:36" s="29" customFormat="1" ht="16">
      <c r="B187" s="259" t="s">
        <v>271</v>
      </c>
      <c r="C187" s="259"/>
      <c r="D187" s="259"/>
      <c r="E187" s="259"/>
      <c r="F187" s="274"/>
      <c r="G187" s="279">
        <v>0</v>
      </c>
      <c r="H187" s="279">
        <f>IF(Inputs!$G$81="as generated",0,G190)</f>
        <v>0</v>
      </c>
      <c r="I187" s="279">
        <f>IF(Inputs!$G$81="as generated",0,H190)</f>
        <v>0</v>
      </c>
      <c r="J187" s="279">
        <f>IF(Inputs!$G$81="as generated",0,I190)</f>
        <v>0</v>
      </c>
      <c r="K187" s="279">
        <f>IF(Inputs!$G$81="as generated",0,J190)</f>
        <v>0</v>
      </c>
      <c r="L187" s="279">
        <f>IF(Inputs!$G$81="as generated",0,K190)</f>
        <v>0</v>
      </c>
      <c r="M187" s="279">
        <f>IF(Inputs!$G$81="as generated",0,L190)</f>
        <v>0</v>
      </c>
      <c r="N187" s="279">
        <f>IF(Inputs!$G$81="as generated",0,M190)</f>
        <v>0</v>
      </c>
      <c r="O187" s="279">
        <f>IF(Inputs!$G$81="as generated",0,N190)</f>
        <v>0</v>
      </c>
      <c r="P187" s="279">
        <f>IF(Inputs!$G$81="as generated",0,O190)</f>
        <v>0</v>
      </c>
      <c r="Q187" s="279">
        <f>IF(Inputs!$G$81="as generated",0,P190)</f>
        <v>0</v>
      </c>
      <c r="R187" s="279">
        <f>IF(Inputs!$G$81="as generated",0,Q190)</f>
        <v>0</v>
      </c>
      <c r="S187" s="279">
        <f>IF(Inputs!$G$81="as generated",0,R190)</f>
        <v>0</v>
      </c>
      <c r="T187" s="279">
        <f>IF(Inputs!$G$81="as generated",0,S190)</f>
        <v>0</v>
      </c>
      <c r="U187" s="279">
        <f>IF(Inputs!$G$81="as generated",0,T190)</f>
        <v>0</v>
      </c>
      <c r="V187" s="279">
        <f>IF(Inputs!$G$81="as generated",0,U190)</f>
        <v>0</v>
      </c>
      <c r="W187" s="279">
        <f>IF(Inputs!$G$81="as generated",0,V190)</f>
        <v>0</v>
      </c>
      <c r="X187" s="279">
        <f>IF(Inputs!$G$81="as generated",0,W190)</f>
        <v>0</v>
      </c>
      <c r="Y187" s="279">
        <f>IF(Inputs!$G$81="as generated",0,X190)</f>
        <v>0</v>
      </c>
      <c r="Z187" s="279">
        <f>IF(Inputs!$G$81="as generated",0,Y190)</f>
        <v>0</v>
      </c>
      <c r="AA187" s="279">
        <f>IF(Inputs!$G$81="as generated",0,Z190)</f>
        <v>0</v>
      </c>
      <c r="AB187" s="279">
        <f>IF(Inputs!$G$81="as generated",0,AA190)</f>
        <v>0</v>
      </c>
      <c r="AC187" s="279">
        <f>IF(Inputs!$G$81="as generated",0,AB190)</f>
        <v>0</v>
      </c>
      <c r="AD187" s="279">
        <f>IF(Inputs!$G$81="as generated",0,AC190)</f>
        <v>0</v>
      </c>
      <c r="AE187" s="279">
        <f>IF(Inputs!$G$81="as generated",0,AD190)</f>
        <v>0</v>
      </c>
      <c r="AF187" s="279">
        <f>IF(Inputs!$G$81="as generated",0,AE190)</f>
        <v>0</v>
      </c>
      <c r="AG187" s="279">
        <f>IF(Inputs!$G$81="as generated",0,AF190)</f>
        <v>0</v>
      </c>
      <c r="AH187" s="279">
        <f>IF(Inputs!$G$81="as generated",0,AG190)</f>
        <v>0</v>
      </c>
      <c r="AI187" s="279">
        <f>IF(Inputs!$G$81="as generated",0,AH190)</f>
        <v>0</v>
      </c>
      <c r="AJ187" s="279">
        <f>IF(Inputs!$G$81="as generated",0,AI190)</f>
        <v>0</v>
      </c>
    </row>
    <row r="188" spans="2:36" s="29" customFormat="1" ht="16">
      <c r="B188" s="259" t="s">
        <v>272</v>
      </c>
      <c r="C188" s="259"/>
      <c r="D188" s="259"/>
      <c r="E188" s="259"/>
      <c r="F188" s="274"/>
      <c r="G188" s="279">
        <f>IF(Inputs!$G$81="as generated",0,IF(G185&lt;=0,G182,0))</f>
        <v>0</v>
      </c>
      <c r="H188" s="279">
        <f>IF(Inputs!$G$81="as generated",0,IF(H185&lt;=0,H182,0))</f>
        <v>0</v>
      </c>
      <c r="I188" s="279">
        <f>IF(Inputs!$G$81="as generated",0,IF(I185&lt;=0,I182,0))</f>
        <v>0</v>
      </c>
      <c r="J188" s="279">
        <f>IF(Inputs!$G$81="as generated",0,IF(J185&lt;=0,J182,0))</f>
        <v>0</v>
      </c>
      <c r="K188" s="279">
        <f>IF(Inputs!$G$81="as generated",0,IF(K185&lt;=0,K182,0))</f>
        <v>0</v>
      </c>
      <c r="L188" s="279">
        <f>IF(Inputs!$G$81="as generated",0,IF(L185&lt;=0,L182,0))</f>
        <v>0</v>
      </c>
      <c r="M188" s="279">
        <f>IF(Inputs!$G$81="as generated",0,IF(M185&lt;=0,M182,0))</f>
        <v>0</v>
      </c>
      <c r="N188" s="279">
        <f>IF(Inputs!$G$81="as generated",0,IF(N185&lt;=0,N182,0))</f>
        <v>0</v>
      </c>
      <c r="O188" s="279">
        <f>IF(Inputs!$G$81="as generated",0,IF(O185&lt;=0,O182,0))</f>
        <v>0</v>
      </c>
      <c r="P188" s="279">
        <f>IF(Inputs!$G$81="as generated",0,IF(P185&lt;=0,P182,0))</f>
        <v>0</v>
      </c>
      <c r="Q188" s="279">
        <f>IF(Inputs!$G$81="as generated",0,IF(Q185&lt;=0,Q182,0))</f>
        <v>0</v>
      </c>
      <c r="R188" s="279">
        <f>IF(Inputs!$G$81="as generated",0,IF(R185&lt;=0,R182,0))</f>
        <v>0</v>
      </c>
      <c r="S188" s="279">
        <f>IF(Inputs!$G$81="as generated",0,IF(S185&lt;=0,S182,0))</f>
        <v>0</v>
      </c>
      <c r="T188" s="279">
        <f>IF(Inputs!$G$81="as generated",0,IF(T185&lt;=0,T182,0))</f>
        <v>0</v>
      </c>
      <c r="U188" s="279">
        <f>IF(Inputs!$G$81="as generated",0,IF(U185&lt;=0,U182,0))</f>
        <v>0</v>
      </c>
      <c r="V188" s="279">
        <f>IF(Inputs!$G$81="as generated",0,IF(V185&lt;=0,V182,0))</f>
        <v>0</v>
      </c>
      <c r="W188" s="279">
        <f>IF(Inputs!$G$81="as generated",0,IF(W185&lt;=0,W182,0))</f>
        <v>0</v>
      </c>
      <c r="X188" s="279">
        <f>IF(Inputs!$G$81="as generated",0,IF(X185&lt;=0,X182,0))</f>
        <v>0</v>
      </c>
      <c r="Y188" s="279">
        <f>IF(Inputs!$G$81="as generated",0,IF(Y185&lt;=0,Y182,0))</f>
        <v>0</v>
      </c>
      <c r="Z188" s="279">
        <f>IF(Inputs!$G$81="as generated",0,IF(Z185&lt;=0,Z182,0))</f>
        <v>0</v>
      </c>
      <c r="AA188" s="279">
        <f>IF(Inputs!$G$81="as generated",0,IF(AA185&lt;=0,AA182,0))</f>
        <v>0</v>
      </c>
      <c r="AB188" s="279">
        <f>IF(Inputs!$G$81="as generated",0,IF(AB185&lt;=0,AB182,0))</f>
        <v>0</v>
      </c>
      <c r="AC188" s="279">
        <f>IF(Inputs!$G$81="as generated",0,IF(AC185&lt;=0,AC182,0))</f>
        <v>0</v>
      </c>
      <c r="AD188" s="279">
        <f>IF(Inputs!$G$81="as generated",0,IF(AD185&lt;=0,AD182,0))</f>
        <v>0</v>
      </c>
      <c r="AE188" s="279">
        <f>IF(Inputs!$G$81="as generated",0,IF(AE185&lt;=0,AE182,0))</f>
        <v>0</v>
      </c>
      <c r="AF188" s="279">
        <f>IF(Inputs!$G$81="as generated",0,IF(AF185&lt;=0,AF182,0))</f>
        <v>0</v>
      </c>
      <c r="AG188" s="279">
        <f>IF(Inputs!$G$81="as generated",0,IF(AG185&lt;=0,AG182,0))</f>
        <v>0</v>
      </c>
      <c r="AH188" s="279">
        <f>IF(Inputs!$G$81="as generated",0,IF(AH185&lt;=0,AH182,0))</f>
        <v>0</v>
      </c>
      <c r="AI188" s="279">
        <f>IF(Inputs!$G$81="as generated",0,IF(AI185&lt;=0,AI182,0))</f>
        <v>0</v>
      </c>
      <c r="AJ188" s="279">
        <f>IF(Inputs!$G$81="as generated",0,IF(AJ185&lt;=0,AJ182,0))</f>
        <v>0</v>
      </c>
    </row>
    <row r="189" spans="2:36" s="29" customFormat="1" ht="16">
      <c r="B189" s="259" t="s">
        <v>273</v>
      </c>
      <c r="C189" s="259"/>
      <c r="D189" s="259"/>
      <c r="E189" s="259"/>
      <c r="F189" s="274"/>
      <c r="G189" s="279">
        <f>IF(Inputs!$G$81="as generated",0,IF(G$185&lt;0,MAX(G$185,-G$188),0))</f>
        <v>0</v>
      </c>
      <c r="H189" s="279">
        <f>IF(Inputs!$G$81="as generated",0,IF(H$185&lt;0,MAX(H$185,-G$190),0))</f>
        <v>0</v>
      </c>
      <c r="I189" s="279">
        <f>IF(Inputs!$G$81="as generated",0,IF(I$185&lt;0,MAX(I$185,-H$190),0))</f>
        <v>0</v>
      </c>
      <c r="J189" s="279">
        <f>IF(Inputs!$G$81="as generated",0,IF(J$185&lt;0,MAX(J$185,-I$190),0))</f>
        <v>0</v>
      </c>
      <c r="K189" s="279">
        <f>IF(Inputs!$G$81="as generated",0,IF(K$185&lt;0,MAX(K$185,-J$190),0))</f>
        <v>0</v>
      </c>
      <c r="L189" s="279">
        <f>IF(Inputs!$G$81="as generated",0,IF(L$185&lt;0,MAX(L$185,-K$190),0))</f>
        <v>0</v>
      </c>
      <c r="M189" s="279">
        <f>IF(Inputs!$G$81="as generated",0,IF(M$185&lt;0,MAX(M$185,-L$190),0))</f>
        <v>0</v>
      </c>
      <c r="N189" s="279">
        <f>IF(Inputs!$G$81="as generated",0,IF(N$185&lt;0,MAX(N$185,-M$190),0))</f>
        <v>0</v>
      </c>
      <c r="O189" s="279">
        <f>IF(Inputs!$G$81="as generated",0,IF(O$185&lt;0,MAX(O$185,-N$190),0))</f>
        <v>0</v>
      </c>
      <c r="P189" s="279">
        <f>IF(Inputs!$G$81="as generated",0,IF(P$185&lt;0,MAX(P$185,-O$190),0))</f>
        <v>0</v>
      </c>
      <c r="Q189" s="279">
        <f>IF(Inputs!$G$81="as generated",0,IF(Q$185&lt;0,MAX(Q$185,-P$190),0))</f>
        <v>0</v>
      </c>
      <c r="R189" s="279">
        <f>IF(Inputs!$G$81="as generated",0,IF(R$185&lt;0,MAX(R$185,-Q$190),0))</f>
        <v>0</v>
      </c>
      <c r="S189" s="279">
        <f>IF(Inputs!$G$81="as generated",0,IF(S$185&lt;0,MAX(S$185,-R$190),0))</f>
        <v>0</v>
      </c>
      <c r="T189" s="279">
        <f>IF(Inputs!$G$81="as generated",0,IF(T$185&lt;0,MAX(T$185,-S$190),0))</f>
        <v>0</v>
      </c>
      <c r="U189" s="279">
        <f>IF(Inputs!$G$81="as generated",0,IF(U$185&lt;0,MAX(U$185,-T$190),0))</f>
        <v>0</v>
      </c>
      <c r="V189" s="279">
        <f>IF(Inputs!$G$81="as generated",0,IF(V$185&lt;0,MAX(V$185,-U$190),0))</f>
        <v>0</v>
      </c>
      <c r="W189" s="279">
        <f>IF(Inputs!$G$81="as generated",0,IF(W$185&lt;0,MAX(W$185,-V$190),0))</f>
        <v>0</v>
      </c>
      <c r="X189" s="279">
        <f>IF(Inputs!$G$81="as generated",0,IF(X$185&lt;0,MAX(X$185,-W$190),0))</f>
        <v>0</v>
      </c>
      <c r="Y189" s="279">
        <f>IF(Inputs!$G$81="as generated",0,IF(Y$185&lt;0,MAX(Y$185,-X$190),0))</f>
        <v>0</v>
      </c>
      <c r="Z189" s="279">
        <f>IF(Inputs!$G$81="as generated",0,IF(Z$185&lt;0,MAX(Z$185,-Y$190),0))</f>
        <v>0</v>
      </c>
      <c r="AA189" s="279">
        <f>IF(Inputs!$G$81="as generated",0,IF(AA$185&lt;0,MAX(AA$185,-Z$190),0))</f>
        <v>0</v>
      </c>
      <c r="AB189" s="279">
        <f>IF(Inputs!$G$81="as generated",0,IF(AB$185&lt;0,MAX(AB$185,-AA$190),0))</f>
        <v>0</v>
      </c>
      <c r="AC189" s="279">
        <f>IF(Inputs!$G$81="as generated",0,IF(AC$185&lt;0,MAX(AC$185,-AB$190),0))</f>
        <v>0</v>
      </c>
      <c r="AD189" s="279">
        <f>IF(Inputs!$G$81="as generated",0,IF(AD$185&lt;0,MAX(AD$185,-AC$190),0))</f>
        <v>0</v>
      </c>
      <c r="AE189" s="279">
        <f>IF(Inputs!$G$81="as generated",0,IF(AE$185&lt;0,MAX(AE$185,-AD$190),0))</f>
        <v>0</v>
      </c>
      <c r="AF189" s="279">
        <f>IF(Inputs!$G$81="as generated",0,IF(AF$185&lt;0,MAX(AF$185,-AE$190),0))</f>
        <v>0</v>
      </c>
      <c r="AG189" s="279">
        <f>IF(Inputs!$G$81="as generated",0,IF(AG$185&lt;0,MAX(AG$185,-AF$190),0))</f>
        <v>0</v>
      </c>
      <c r="AH189" s="279">
        <f>IF(Inputs!$G$81="as generated",0,IF(AH$185&lt;0,MAX(AH$185,-AG$190),0))</f>
        <v>0</v>
      </c>
      <c r="AI189" s="279">
        <f>IF(Inputs!$G$81="as generated",0,IF(AI$185&lt;0,MAX(AI$185,-AH$190),0))</f>
        <v>0</v>
      </c>
      <c r="AJ189" s="279">
        <f>IF(Inputs!$G$81="as generated",0,IF(AJ$185&lt;0,MAX(AJ$185,-AI$190),0))</f>
        <v>0</v>
      </c>
    </row>
    <row r="190" spans="2:36" s="29" customFormat="1" ht="16">
      <c r="B190" s="259" t="s">
        <v>274</v>
      </c>
      <c r="C190" s="259"/>
      <c r="D190" s="259"/>
      <c r="E190" s="259"/>
      <c r="F190" s="279">
        <v>0</v>
      </c>
      <c r="G190" s="279">
        <f>SUM(G187:G189)</f>
        <v>0</v>
      </c>
      <c r="H190" s="279">
        <f t="shared" ref="H190:AJ190" si="62">SUM(H187:H189)</f>
        <v>0</v>
      </c>
      <c r="I190" s="279">
        <f t="shared" si="62"/>
        <v>0</v>
      </c>
      <c r="J190" s="279">
        <f t="shared" si="62"/>
        <v>0</v>
      </c>
      <c r="K190" s="279">
        <f t="shared" si="62"/>
        <v>0</v>
      </c>
      <c r="L190" s="279">
        <f t="shared" si="62"/>
        <v>0</v>
      </c>
      <c r="M190" s="279">
        <f t="shared" si="62"/>
        <v>0</v>
      </c>
      <c r="N190" s="279">
        <f t="shared" si="62"/>
        <v>0</v>
      </c>
      <c r="O190" s="279">
        <f t="shared" si="62"/>
        <v>0</v>
      </c>
      <c r="P190" s="279">
        <f t="shared" si="62"/>
        <v>0</v>
      </c>
      <c r="Q190" s="279">
        <f t="shared" si="62"/>
        <v>0</v>
      </c>
      <c r="R190" s="279">
        <f t="shared" si="62"/>
        <v>0</v>
      </c>
      <c r="S190" s="279">
        <f t="shared" si="62"/>
        <v>0</v>
      </c>
      <c r="T190" s="279">
        <f t="shared" si="62"/>
        <v>0</v>
      </c>
      <c r="U190" s="279">
        <f t="shared" si="62"/>
        <v>0</v>
      </c>
      <c r="V190" s="279">
        <f t="shared" si="62"/>
        <v>0</v>
      </c>
      <c r="W190" s="279">
        <f t="shared" si="62"/>
        <v>0</v>
      </c>
      <c r="X190" s="279">
        <f t="shared" si="62"/>
        <v>0</v>
      </c>
      <c r="Y190" s="279">
        <f t="shared" si="62"/>
        <v>0</v>
      </c>
      <c r="Z190" s="279">
        <f t="shared" si="62"/>
        <v>0</v>
      </c>
      <c r="AA190" s="279">
        <f t="shared" si="62"/>
        <v>0</v>
      </c>
      <c r="AB190" s="279">
        <f t="shared" si="62"/>
        <v>0</v>
      </c>
      <c r="AC190" s="279">
        <f t="shared" si="62"/>
        <v>0</v>
      </c>
      <c r="AD190" s="279">
        <f t="shared" si="62"/>
        <v>0</v>
      </c>
      <c r="AE190" s="279">
        <f t="shared" si="62"/>
        <v>0</v>
      </c>
      <c r="AF190" s="279">
        <f t="shared" si="62"/>
        <v>0</v>
      </c>
      <c r="AG190" s="279">
        <f t="shared" si="62"/>
        <v>0</v>
      </c>
      <c r="AH190" s="279">
        <f t="shared" si="62"/>
        <v>0</v>
      </c>
      <c r="AI190" s="279">
        <f t="shared" si="62"/>
        <v>0</v>
      </c>
      <c r="AJ190" s="279">
        <f t="shared" si="62"/>
        <v>0</v>
      </c>
    </row>
    <row r="191" spans="2:36" s="29" customFormat="1" ht="16">
      <c r="B191" s="259"/>
      <c r="C191" s="259"/>
      <c r="D191" s="259"/>
      <c r="E191" s="259"/>
      <c r="F191" s="274"/>
      <c r="G191" s="274"/>
      <c r="H191" s="285"/>
      <c r="I191" s="259"/>
      <c r="J191" s="259"/>
      <c r="K191" s="259"/>
      <c r="L191" s="259"/>
      <c r="M191" s="259"/>
      <c r="N191" s="259"/>
      <c r="O191" s="259"/>
      <c r="P191" s="259"/>
      <c r="Q191" s="259"/>
      <c r="R191" s="259"/>
      <c r="S191" s="259"/>
      <c r="T191" s="259"/>
      <c r="U191" s="259"/>
      <c r="V191" s="259"/>
      <c r="W191" s="259"/>
      <c r="X191" s="259"/>
      <c r="Y191" s="259"/>
      <c r="Z191" s="259"/>
      <c r="AA191" s="259"/>
      <c r="AB191" s="259"/>
      <c r="AC191" s="259"/>
      <c r="AD191" s="259"/>
      <c r="AE191" s="259"/>
      <c r="AF191" s="259"/>
      <c r="AG191" s="259"/>
      <c r="AH191" s="259"/>
      <c r="AI191" s="259"/>
      <c r="AJ191" s="259"/>
    </row>
    <row r="192" spans="2:36" s="29" customFormat="1" ht="16">
      <c r="B192" s="258" t="s">
        <v>235</v>
      </c>
      <c r="C192" s="258"/>
      <c r="D192" s="258"/>
      <c r="E192" s="259"/>
      <c r="F192" s="274"/>
      <c r="G192" s="284"/>
      <c r="H192" s="285"/>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59"/>
      <c r="AF192" s="259"/>
      <c r="AG192" s="259"/>
      <c r="AH192" s="259"/>
      <c r="AI192" s="259"/>
      <c r="AJ192" s="259"/>
    </row>
    <row r="193" spans="2:36" s="29" customFormat="1" ht="16">
      <c r="B193" s="259" t="s">
        <v>232</v>
      </c>
      <c r="C193" s="259"/>
      <c r="D193" s="259"/>
      <c r="E193" s="259"/>
      <c r="F193" s="274"/>
      <c r="G193" s="345">
        <f>IF(OR(Inputs!$G$79="No",Inputs!$Q$38="Performance-Based",Inputs!$Q$38="Neither"),0,IF(G$2&lt;=Inputs!$Q$41,($C$109*(Inputs!$Q$39*(1-Inputs!$G$80))*Inputs!$Q$40)/Inputs!$Q$41,0))</f>
        <v>0</v>
      </c>
      <c r="H193" s="345">
        <f>IF(OR(Inputs!$G$79="No",Inputs!$Q$38="Performance-Based",Inputs!$Q$38="Neither"),0,IF(H$2&lt;=Inputs!$Q$41,($C$109*(Inputs!$Q$39*(1-Inputs!$G$80))*Inputs!$Q$40)/Inputs!$Q$41,0))</f>
        <v>0</v>
      </c>
      <c r="I193" s="345">
        <f>IF(OR(Inputs!$G$79="No",Inputs!$Q$38="Performance-Based",Inputs!$Q$38="Neither"),0,IF(I$2&lt;=Inputs!$Q$41,($C$109*(Inputs!$Q$39*(1-Inputs!$G$80))*Inputs!$Q$40)/Inputs!$Q$41,0))</f>
        <v>0</v>
      </c>
      <c r="J193" s="345">
        <f>IF(OR(Inputs!$G$79="No",Inputs!$Q$38="Performance-Based",Inputs!$Q$38="Neither"),0,IF(J$2&lt;=Inputs!$Q$41,($C$109*(Inputs!$Q$39*(1-Inputs!$G$80))*Inputs!$Q$40)/Inputs!$Q$41,0))</f>
        <v>0</v>
      </c>
      <c r="K193" s="345">
        <f>IF(OR(Inputs!$G$79="No",Inputs!$Q$38="Performance-Based",Inputs!$Q$38="Neither"),0,IF(K$2&lt;=Inputs!$Q$41,($C$109*(Inputs!$Q$39*(1-Inputs!$G$80))*Inputs!$Q$40)/Inputs!$Q$41,0))</f>
        <v>0</v>
      </c>
      <c r="L193" s="345">
        <f>IF(OR(Inputs!$G$79="No",Inputs!$Q$38="Performance-Based",Inputs!$Q$38="Neither"),0,IF(L$2&lt;=Inputs!$Q$41,($C$109*(Inputs!$Q$39*(1-Inputs!$G$80))*Inputs!$Q$40)/Inputs!$Q$41,0))</f>
        <v>0</v>
      </c>
      <c r="M193" s="345">
        <f>IF(OR(Inputs!$G$79="No",Inputs!$Q$38="Performance-Based",Inputs!$Q$38="Neither"),0,IF(M$2&lt;=Inputs!$Q$41,($C$109*(Inputs!$Q$39*(1-Inputs!$G$80))*Inputs!$Q$40)/Inputs!$Q$41,0))</f>
        <v>0</v>
      </c>
      <c r="N193" s="345">
        <f>IF(OR(Inputs!$G$79="No",Inputs!$Q$38="Performance-Based",Inputs!$Q$38="Neither"),0,IF(N$2&lt;=Inputs!$Q$41,($C$109*(Inputs!$Q$39*(1-Inputs!$G$80))*Inputs!$Q$40)/Inputs!$Q$41,0))</f>
        <v>0</v>
      </c>
      <c r="O193" s="345">
        <f>IF(OR(Inputs!$G$79="No",Inputs!$Q$38="Performance-Based",Inputs!$Q$38="Neither"),0,IF(O$2&lt;=Inputs!$Q$41,($C$109*(Inputs!$Q$39*(1-Inputs!$G$80))*Inputs!$Q$40)/Inputs!$Q$41,0))</f>
        <v>0</v>
      </c>
      <c r="P193" s="345">
        <f>IF(OR(Inputs!$G$79="No",Inputs!$Q$38="Performance-Based",Inputs!$Q$38="Neither"),0,IF(P$2&lt;=Inputs!$Q$41,($C$109*(Inputs!$Q$39*(1-Inputs!$G$80))*Inputs!$Q$40)/Inputs!$Q$41,0))</f>
        <v>0</v>
      </c>
      <c r="Q193" s="345">
        <f>IF(OR(Inputs!$G$79="No",Inputs!$Q$38="Performance-Based",Inputs!$Q$38="Neither"),0,IF(Q$2&lt;=Inputs!$Q$41,($C$109*(Inputs!$Q$39*(1-Inputs!$G$80))*Inputs!$Q$40)/Inputs!$Q$41,0))</f>
        <v>0</v>
      </c>
      <c r="R193" s="345">
        <f>IF(OR(Inputs!$G$79="No",Inputs!$Q$38="Performance-Based",Inputs!$Q$38="Neither"),0,IF(R$2&lt;=Inputs!$Q$41,($C$109*(Inputs!$Q$39*(1-Inputs!$G$80))*Inputs!$Q$40)/Inputs!$Q$41,0))</f>
        <v>0</v>
      </c>
      <c r="S193" s="345">
        <f>IF(OR(Inputs!$G$79="No",Inputs!$Q$38="Performance-Based",Inputs!$Q$38="Neither"),0,IF(S$2&lt;=Inputs!$Q$41,($C$109*(Inputs!$Q$39*(1-Inputs!$G$80))*Inputs!$Q$40)/Inputs!$Q$41,0))</f>
        <v>0</v>
      </c>
      <c r="T193" s="345">
        <f>IF(OR(Inputs!$G$79="No",Inputs!$Q$38="Performance-Based",Inputs!$Q$38="Neither"),0,IF(T$2&lt;=Inputs!$Q$41,($C$109*(Inputs!$Q$39*(1-Inputs!$G$80))*Inputs!$Q$40)/Inputs!$Q$41,0))</f>
        <v>0</v>
      </c>
      <c r="U193" s="345">
        <f>IF(OR(Inputs!$G$79="No",Inputs!$Q$38="Performance-Based",Inputs!$Q$38="Neither"),0,IF(U$2&lt;=Inputs!$Q$41,($C$109*(Inputs!$Q$39*(1-Inputs!$G$80))*Inputs!$Q$40)/Inputs!$Q$41,0))</f>
        <v>0</v>
      </c>
      <c r="V193" s="345">
        <f>IF(OR(Inputs!$G$79="No",Inputs!$Q$38="Performance-Based",Inputs!$Q$38="Neither"),0,IF(V$2&lt;=Inputs!$Q$41,($C$109*(Inputs!$Q$39*(1-Inputs!$G$80))*Inputs!$Q$40)/Inputs!$Q$41,0))</f>
        <v>0</v>
      </c>
      <c r="W193" s="345">
        <f>IF(OR(Inputs!$G$79="No",Inputs!$Q$38="Performance-Based",Inputs!$Q$38="Neither"),0,IF(W$2&lt;=Inputs!$Q$41,($C$109*(Inputs!$Q$39*(1-Inputs!$G$80))*Inputs!$Q$40)/Inputs!$Q$41,0))</f>
        <v>0</v>
      </c>
      <c r="X193" s="345">
        <f>IF(OR(Inputs!$G$79="No",Inputs!$Q$38="Performance-Based",Inputs!$Q$38="Neither"),0,IF(X$2&lt;=Inputs!$Q$41,($C$109*(Inputs!$Q$39*(1-Inputs!$G$80))*Inputs!$Q$40)/Inputs!$Q$41,0))</f>
        <v>0</v>
      </c>
      <c r="Y193" s="345">
        <f>IF(OR(Inputs!$G$79="No",Inputs!$Q$38="Performance-Based",Inputs!$Q$38="Neither"),0,IF(Y$2&lt;=Inputs!$Q$41,($C$109*(Inputs!$Q$39*(1-Inputs!$G$80))*Inputs!$Q$40)/Inputs!$Q$41,0))</f>
        <v>0</v>
      </c>
      <c r="Z193" s="345">
        <f>IF(OR(Inputs!$G$79="No",Inputs!$Q$38="Performance-Based",Inputs!$Q$38="Neither"),0,IF(Z$2&lt;=Inputs!$Q$41,($C$109*(Inputs!$Q$39*(1-Inputs!$G$80))*Inputs!$Q$40)/Inputs!$Q$41,0))</f>
        <v>0</v>
      </c>
      <c r="AA193" s="345">
        <f>IF(OR(Inputs!$G$79="No",Inputs!$Q$38="Performance-Based",Inputs!$Q$38="Neither"),0,IF(AA$2&lt;=Inputs!$Q$41,($C$109*(Inputs!$Q$39*(1-Inputs!$G$80))*Inputs!$Q$40)/Inputs!$Q$41,0))</f>
        <v>0</v>
      </c>
      <c r="AB193" s="345">
        <f>IF(OR(Inputs!$G$79="No",Inputs!$Q$38="Performance-Based",Inputs!$Q$38="Neither"),0,IF(AB$2&lt;=Inputs!$Q$41,($C$109*(Inputs!$Q$39*(1-Inputs!$G$80))*Inputs!$Q$40)/Inputs!$Q$41,0))</f>
        <v>0</v>
      </c>
      <c r="AC193" s="345">
        <f>IF(OR(Inputs!$G$79="No",Inputs!$Q$38="Performance-Based",Inputs!$Q$38="Neither"),0,IF(AC$2&lt;=Inputs!$Q$41,($C$109*(Inputs!$Q$39*(1-Inputs!$G$80))*Inputs!$Q$40)/Inputs!$Q$41,0))</f>
        <v>0</v>
      </c>
      <c r="AD193" s="345">
        <f>IF(OR(Inputs!$G$79="No",Inputs!$Q$38="Performance-Based",Inputs!$Q$38="Neither"),0,IF(AD$2&lt;=Inputs!$Q$41,($C$109*(Inputs!$Q$39*(1-Inputs!$G$80))*Inputs!$Q$40)/Inputs!$Q$41,0))</f>
        <v>0</v>
      </c>
      <c r="AE193" s="345">
        <f>IF(OR(Inputs!$G$79="No",Inputs!$Q$38="Performance-Based",Inputs!$Q$38="Neither"),0,IF(AE$2&lt;=Inputs!$Q$41,($C$109*(Inputs!$Q$39*(1-Inputs!$G$80))*Inputs!$Q$40)/Inputs!$Q$41,0))</f>
        <v>0</v>
      </c>
      <c r="AF193" s="345">
        <f>IF(OR(Inputs!$G$79="No",Inputs!$Q$38="Performance-Based",Inputs!$Q$38="Neither"),0,IF(AF$2&lt;=Inputs!$Q$41,($C$109*(Inputs!$Q$39*(1-Inputs!$G$80))*Inputs!$Q$40)/Inputs!$Q$41,0))</f>
        <v>0</v>
      </c>
      <c r="AG193" s="345">
        <f>IF(OR(Inputs!$G$79="No",Inputs!$Q$38="Performance-Based",Inputs!$Q$38="Neither"),0,IF(AG$2&lt;=Inputs!$Q$41,($C$109*(Inputs!$Q$39*(1-Inputs!$G$80))*Inputs!$Q$40)/Inputs!$Q$41,0))</f>
        <v>0</v>
      </c>
      <c r="AH193" s="345">
        <f>IF(OR(Inputs!$G$79="No",Inputs!$Q$38="Performance-Based",Inputs!$Q$38="Neither"),0,IF(AH$2&lt;=Inputs!$Q$41,($C$109*(Inputs!$Q$39*(1-Inputs!$G$80))*Inputs!$Q$40)/Inputs!$Q$41,0))</f>
        <v>0</v>
      </c>
      <c r="AI193" s="345">
        <f>IF(OR(Inputs!$G$79="No",Inputs!$Q$38="Performance-Based",Inputs!$Q$38="Neither"),0,IF(AI$2&lt;=Inputs!$Q$41,($C$109*(Inputs!$Q$39*(1-Inputs!$G$80))*Inputs!$Q$40)/Inputs!$Q$41,0))</f>
        <v>0</v>
      </c>
      <c r="AJ193" s="345">
        <f>IF(OR(Inputs!$G$79="No",Inputs!$Q$38="Performance-Based",Inputs!$Q$38="Neither"),0,IF(AJ$2&lt;=Inputs!$Q$41,($C$109*(Inputs!$Q$39*(1-Inputs!$G$80))*Inputs!$Q$40)/Inputs!$Q$41,0))</f>
        <v>0</v>
      </c>
    </row>
    <row r="194" spans="2:36" s="29" customFormat="1" ht="16">
      <c r="B194" s="259" t="s">
        <v>192</v>
      </c>
      <c r="C194" s="259"/>
      <c r="D194" s="259"/>
      <c r="E194" s="259"/>
      <c r="F194" s="274"/>
      <c r="G194" s="279">
        <f>IF(OR(Inputs!$G$79="No",Inputs!$Q$38="Cost-Based",Inputs!$Q$38="Neither"),0,IF(Inputs!$Q$43="Tax Credit",IF(G$2&gt;Inputs!$Q$48,0,IF(Inputs!$Q$44=0,Inputs!$Q$46/100*G$17*Inputs!$Q$47*G$10,MIN(Inputs!$Q$44,Inputs!$Q$46/100*G$17*Inputs!$Q$47*G$10))),0))</f>
        <v>0</v>
      </c>
      <c r="H194" s="279">
        <f>IF(OR(Inputs!$G$79="No",Inputs!$Q$38="Cost-Based",Inputs!$Q$38="Neither"),0,IF(Inputs!$Q$43="Tax Credit",IF(H$2&gt;Inputs!$Q$48,0,IF(Inputs!$Q$44=0,Inputs!$Q$46/100*H$17*Inputs!$Q$47*H$10,MIN(Inputs!$Q$44,Inputs!$Q$46/100*H$17*Inputs!$Q$47*H$10))),0))</f>
        <v>0</v>
      </c>
      <c r="I194" s="279">
        <f>IF(OR(Inputs!$G$79="No",Inputs!$Q$38="Cost-Based",Inputs!$Q$38="Neither"),0,IF(Inputs!$Q$43="Tax Credit",IF(I$2&gt;Inputs!$Q$48,0,IF(Inputs!$Q$44=0,Inputs!$Q$46/100*I$17*Inputs!$Q$47*I$10,MIN(Inputs!$Q$44,Inputs!$Q$46/100*I$17*Inputs!$Q$47*I$10))),0))</f>
        <v>0</v>
      </c>
      <c r="J194" s="279">
        <f>IF(OR(Inputs!$G$79="No",Inputs!$Q$38="Cost-Based",Inputs!$Q$38="Neither"),0,IF(Inputs!$Q$43="Tax Credit",IF(J$2&gt;Inputs!$Q$48,0,IF(Inputs!$Q$44=0,Inputs!$Q$46/100*J$17*Inputs!$Q$47*J$10,MIN(Inputs!$Q$44,Inputs!$Q$46/100*J$17*Inputs!$Q$47*J$10))),0))</f>
        <v>0</v>
      </c>
      <c r="K194" s="279">
        <f>IF(OR(Inputs!$G$79="No",Inputs!$Q$38="Cost-Based",Inputs!$Q$38="Neither"),0,IF(Inputs!$Q$43="Tax Credit",IF(K$2&gt;Inputs!$Q$48,0,IF(Inputs!$Q$44=0,Inputs!$Q$46/100*K$17*Inputs!$Q$47*K$10,MIN(Inputs!$Q$44,Inputs!$Q$46/100*K$17*Inputs!$Q$47*K$10))),0))</f>
        <v>0</v>
      </c>
      <c r="L194" s="279">
        <f>IF(OR(Inputs!$G$79="No",Inputs!$Q$38="Cost-Based",Inputs!$Q$38="Neither"),0,IF(Inputs!$Q$43="Tax Credit",IF(L$2&gt;Inputs!$Q$48,0,IF(Inputs!$Q$44=0,Inputs!$Q$46/100*L$17*Inputs!$Q$47*L$10,MIN(Inputs!$Q$44,Inputs!$Q$46/100*L$17*Inputs!$Q$47*L$10))),0))</f>
        <v>0</v>
      </c>
      <c r="M194" s="279">
        <f>IF(OR(Inputs!$G$79="No",Inputs!$Q$38="Cost-Based",Inputs!$Q$38="Neither"),0,IF(Inputs!$Q$43="Tax Credit",IF(M$2&gt;Inputs!$Q$48,0,IF(Inputs!$Q$44=0,Inputs!$Q$46/100*M$17*Inputs!$Q$47*M$10,MIN(Inputs!$Q$44,Inputs!$Q$46/100*M$17*Inputs!$Q$47*M$10))),0))</f>
        <v>0</v>
      </c>
      <c r="N194" s="279">
        <f>IF(OR(Inputs!$G$79="No",Inputs!$Q$38="Cost-Based",Inputs!$Q$38="Neither"),0,IF(Inputs!$Q$43="Tax Credit",IF(N$2&gt;Inputs!$Q$48,0,IF(Inputs!$Q$44=0,Inputs!$Q$46/100*N$17*Inputs!$Q$47*N$10,MIN(Inputs!$Q$44,Inputs!$Q$46/100*N$17*Inputs!$Q$47*N$10))),0))</f>
        <v>0</v>
      </c>
      <c r="O194" s="279">
        <f>IF(OR(Inputs!$G$79="No",Inputs!$Q$38="Cost-Based",Inputs!$Q$38="Neither"),0,IF(Inputs!$Q$43="Tax Credit",IF(O$2&gt;Inputs!$Q$48,0,IF(Inputs!$Q$44=0,Inputs!$Q$46/100*O$17*Inputs!$Q$47*O$10,MIN(Inputs!$Q$44,Inputs!$Q$46/100*O$17*Inputs!$Q$47*O$10))),0))</f>
        <v>0</v>
      </c>
      <c r="P194" s="279">
        <f>IF(OR(Inputs!$G$79="No",Inputs!$Q$38="Cost-Based",Inputs!$Q$38="Neither"),0,IF(Inputs!$Q$43="Tax Credit",IF(P$2&gt;Inputs!$Q$48,0,IF(Inputs!$Q$44=0,Inputs!$Q$46/100*P$17*Inputs!$Q$47*P$10,MIN(Inputs!$Q$44,Inputs!$Q$46/100*P$17*Inputs!$Q$47*P$10))),0))</f>
        <v>0</v>
      </c>
      <c r="Q194" s="279">
        <f>IF(OR(Inputs!$G$79="No",Inputs!$Q$38="Cost-Based",Inputs!$Q$38="Neither"),0,IF(Inputs!$Q$43="Tax Credit",IF(Q$2&gt;Inputs!$Q$48,0,IF(Inputs!$Q$44=0,Inputs!$Q$46/100*Q$17*Inputs!$Q$47*Q$10,MIN(Inputs!$Q$44,Inputs!$Q$46/100*Q$17*Inputs!$Q$47*Q$10))),0))</f>
        <v>0</v>
      </c>
      <c r="R194" s="279">
        <f>IF(OR(Inputs!$G$79="No",Inputs!$Q$38="Cost-Based",Inputs!$Q$38="Neither"),0,IF(Inputs!$Q$43="Tax Credit",IF(R$2&gt;Inputs!$Q$48,0,IF(Inputs!$Q$44=0,Inputs!$Q$46/100*R$17*Inputs!$Q$47*R$10,MIN(Inputs!$Q$44,Inputs!$Q$46/100*R$17*Inputs!$Q$47*R$10))),0))</f>
        <v>0</v>
      </c>
      <c r="S194" s="279">
        <f>IF(OR(Inputs!$G$79="No",Inputs!$Q$38="Cost-Based",Inputs!$Q$38="Neither"),0,IF(Inputs!$Q$43="Tax Credit",IF(S$2&gt;Inputs!$Q$48,0,IF(Inputs!$Q$44=0,Inputs!$Q$46/100*S$17*Inputs!$Q$47*S$10,MIN(Inputs!$Q$44,Inputs!$Q$46/100*S$17*Inputs!$Q$47*S$10))),0))</f>
        <v>0</v>
      </c>
      <c r="T194" s="279">
        <f>IF(OR(Inputs!$G$79="No",Inputs!$Q$38="Cost-Based",Inputs!$Q$38="Neither"),0,IF(Inputs!$Q$43="Tax Credit",IF(T$2&gt;Inputs!$Q$48,0,IF(Inputs!$Q$44=0,Inputs!$Q$46/100*T$17*Inputs!$Q$47*T$10,MIN(Inputs!$Q$44,Inputs!$Q$46/100*T$17*Inputs!$Q$47*T$10))),0))</f>
        <v>0</v>
      </c>
      <c r="U194" s="279">
        <f>IF(OR(Inputs!$G$79="No",Inputs!$Q$38="Cost-Based",Inputs!$Q$38="Neither"),0,IF(Inputs!$Q$43="Tax Credit",IF(U$2&gt;Inputs!$Q$48,0,IF(Inputs!$Q$44=0,Inputs!$Q$46/100*U$17*Inputs!$Q$47*U$10,MIN(Inputs!$Q$44,Inputs!$Q$46/100*U$17*Inputs!$Q$47*U$10))),0))</f>
        <v>0</v>
      </c>
      <c r="V194" s="279">
        <f>IF(OR(Inputs!$G$79="No",Inputs!$Q$38="Cost-Based",Inputs!$Q$38="Neither"),0,IF(Inputs!$Q$43="Tax Credit",IF(V$2&gt;Inputs!$Q$48,0,IF(Inputs!$Q$44=0,Inputs!$Q$46/100*V$17*Inputs!$Q$47*V$10,MIN(Inputs!$Q$44,Inputs!$Q$46/100*V$17*Inputs!$Q$47*V$10))),0))</f>
        <v>0</v>
      </c>
      <c r="W194" s="279">
        <f>IF(OR(Inputs!$G$79="No",Inputs!$Q$38="Cost-Based",Inputs!$Q$38="Neither"),0,IF(Inputs!$Q$43="Tax Credit",IF(W$2&gt;Inputs!$Q$48,0,IF(Inputs!$Q$44=0,Inputs!$Q$46/100*W$17*Inputs!$Q$47*W$10,MIN(Inputs!$Q$44,Inputs!$Q$46/100*W$17*Inputs!$Q$47*W$10))),0))</f>
        <v>0</v>
      </c>
      <c r="X194" s="279">
        <f>IF(OR(Inputs!$G$79="No",Inputs!$Q$38="Cost-Based",Inputs!$Q$38="Neither"),0,IF(Inputs!$Q$43="Tax Credit",IF(X$2&gt;Inputs!$Q$48,0,IF(Inputs!$Q$44=0,Inputs!$Q$46/100*X$17*Inputs!$Q$47*X$10,MIN(Inputs!$Q$44,Inputs!$Q$46/100*X$17*Inputs!$Q$47*X$10))),0))</f>
        <v>0</v>
      </c>
      <c r="Y194" s="279">
        <f>IF(OR(Inputs!$G$79="No",Inputs!$Q$38="Cost-Based",Inputs!$Q$38="Neither"),0,IF(Inputs!$Q$43="Tax Credit",IF(Y$2&gt;Inputs!$Q$48,0,IF(Inputs!$Q$44=0,Inputs!$Q$46/100*Y$17*Inputs!$Q$47*Y$10,MIN(Inputs!$Q$44,Inputs!$Q$46/100*Y$17*Inputs!$Q$47*Y$10))),0))</f>
        <v>0</v>
      </c>
      <c r="Z194" s="279">
        <f>IF(OR(Inputs!$G$79="No",Inputs!$Q$38="Cost-Based",Inputs!$Q$38="Neither"),0,IF(Inputs!$Q$43="Tax Credit",IF(Z$2&gt;Inputs!$Q$48,0,IF(Inputs!$Q$44=0,Inputs!$Q$46/100*Z$17*Inputs!$Q$47*Z$10,MIN(Inputs!$Q$44,Inputs!$Q$46/100*Z$17*Inputs!$Q$47*Z$10))),0))</f>
        <v>0</v>
      </c>
      <c r="AA194" s="279">
        <f>IF(OR(Inputs!$G$79="No",Inputs!$Q$38="Cost-Based",Inputs!$Q$38="Neither"),0,IF(Inputs!$Q$43="Tax Credit",IF(AA$2&gt;Inputs!$Q$48,0,IF(Inputs!$Q$44=0,Inputs!$Q$46/100*AA$17*Inputs!$Q$47*AA$10,MIN(Inputs!$Q$44,Inputs!$Q$46/100*AA$17*Inputs!$Q$47*AA$10))),0))</f>
        <v>0</v>
      </c>
      <c r="AB194" s="279">
        <f>IF(OR(Inputs!$G$79="No",Inputs!$Q$38="Cost-Based",Inputs!$Q$38="Neither"),0,IF(Inputs!$Q$43="Tax Credit",IF(AB$2&gt;Inputs!$Q$48,0,IF(Inputs!$Q$44=0,Inputs!$Q$46/100*AB$17*Inputs!$Q$47*AB$10,MIN(Inputs!$Q$44,Inputs!$Q$46/100*AB$17*Inputs!$Q$47*AB$10))),0))</f>
        <v>0</v>
      </c>
      <c r="AC194" s="279">
        <f>IF(OR(Inputs!$G$79="No",Inputs!$Q$38="Cost-Based",Inputs!$Q$38="Neither"),0,IF(Inputs!$Q$43="Tax Credit",IF(AC$2&gt;Inputs!$Q$48,0,IF(Inputs!$Q$44=0,Inputs!$Q$46/100*AC$17*Inputs!$Q$47*AC$10,MIN(Inputs!$Q$44,Inputs!$Q$46/100*AC$17*Inputs!$Q$47*AC$10))),0))</f>
        <v>0</v>
      </c>
      <c r="AD194" s="279">
        <f>IF(OR(Inputs!$G$79="No",Inputs!$Q$38="Cost-Based",Inputs!$Q$38="Neither"),0,IF(Inputs!$Q$43="Tax Credit",IF(AD$2&gt;Inputs!$Q$48,0,IF(Inputs!$Q$44=0,Inputs!$Q$46/100*AD$17*Inputs!$Q$47*AD$10,MIN(Inputs!$Q$44,Inputs!$Q$46/100*AD$17*Inputs!$Q$47*AD$10))),0))</f>
        <v>0</v>
      </c>
      <c r="AE194" s="279">
        <f>IF(OR(Inputs!$G$79="No",Inputs!$Q$38="Cost-Based",Inputs!$Q$38="Neither"),0,IF(Inputs!$Q$43="Tax Credit",IF(AE$2&gt;Inputs!$Q$48,0,IF(Inputs!$Q$44=0,Inputs!$Q$46/100*AE$17*Inputs!$Q$47*AE$10,MIN(Inputs!$Q$44,Inputs!$Q$46/100*AE$17*Inputs!$Q$47*AE$10))),0))</f>
        <v>0</v>
      </c>
      <c r="AF194" s="279">
        <f>IF(OR(Inputs!$G$79="No",Inputs!$Q$38="Cost-Based",Inputs!$Q$38="Neither"),0,IF(Inputs!$Q$43="Tax Credit",IF(AF$2&gt;Inputs!$Q$48,0,IF(Inputs!$Q$44=0,Inputs!$Q$46/100*AF$17*Inputs!$Q$47*AF$10,MIN(Inputs!$Q$44,Inputs!$Q$46/100*AF$17*Inputs!$Q$47*AF$10))),0))</f>
        <v>0</v>
      </c>
      <c r="AG194" s="279">
        <f>IF(OR(Inputs!$G$79="No",Inputs!$Q$38="Cost-Based",Inputs!$Q$38="Neither"),0,IF(Inputs!$Q$43="Tax Credit",IF(AG$2&gt;Inputs!$Q$48,0,IF(Inputs!$Q$44=0,Inputs!$Q$46/100*AG$17*Inputs!$Q$47*AG$10,MIN(Inputs!$Q$44,Inputs!$Q$46/100*AG$17*Inputs!$Q$47*AG$10))),0))</f>
        <v>0</v>
      </c>
      <c r="AH194" s="279">
        <f>IF(OR(Inputs!$G$79="No",Inputs!$Q$38="Cost-Based",Inputs!$Q$38="Neither"),0,IF(Inputs!$Q$43="Tax Credit",IF(AH$2&gt;Inputs!$Q$48,0,IF(Inputs!$Q$44=0,Inputs!$Q$46/100*AH$17*Inputs!$Q$47*AH$10,MIN(Inputs!$Q$44,Inputs!$Q$46/100*AH$17*Inputs!$Q$47*AH$10))),0))</f>
        <v>0</v>
      </c>
      <c r="AI194" s="279">
        <f>IF(OR(Inputs!$G$79="No",Inputs!$Q$38="Cost-Based",Inputs!$Q$38="Neither"),0,IF(Inputs!$Q$43="Tax Credit",IF(AI$2&gt;Inputs!$Q$48,0,IF(Inputs!$Q$44=0,Inputs!$Q$46/100*AI$17*Inputs!$Q$47*AI$10,MIN(Inputs!$Q$44,Inputs!$Q$46/100*AI$17*Inputs!$Q$47*AI$10))),0))</f>
        <v>0</v>
      </c>
      <c r="AJ194" s="279">
        <f>IF(OR(Inputs!$G$79="No",Inputs!$Q$38="Cost-Based",Inputs!$Q$38="Neither"),0,IF(Inputs!$Q$43="Tax Credit",IF(AJ$2&gt;Inputs!$Q$48,0,IF(Inputs!$Q$44=0,Inputs!$Q$46/100*AJ$17*Inputs!$Q$47*AJ$10,MIN(Inputs!$Q$44,Inputs!$Q$46/100*AJ$17*Inputs!$Q$47*AJ$10))),0))</f>
        <v>0</v>
      </c>
    </row>
    <row r="195" spans="2:36" s="29" customFormat="1" ht="16">
      <c r="B195" s="259"/>
      <c r="C195" s="259"/>
      <c r="D195" s="259"/>
      <c r="E195" s="259"/>
      <c r="F195" s="274"/>
      <c r="G195" s="284"/>
      <c r="H195" s="285"/>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259"/>
      <c r="AE195" s="259"/>
      <c r="AF195" s="259"/>
      <c r="AG195" s="259"/>
      <c r="AH195" s="259"/>
      <c r="AI195" s="259"/>
      <c r="AJ195" s="259"/>
    </row>
    <row r="196" spans="2:36" s="29" customFormat="1" ht="16">
      <c r="B196" s="259" t="s">
        <v>233</v>
      </c>
      <c r="C196" s="259"/>
      <c r="D196" s="259"/>
      <c r="E196" s="259"/>
      <c r="F196" s="274"/>
      <c r="G196" s="279">
        <f>SUM(G193:G194)</f>
        <v>0</v>
      </c>
      <c r="H196" s="279">
        <f t="shared" ref="H196:AJ196" si="63">SUM(H193:H194)</f>
        <v>0</v>
      </c>
      <c r="I196" s="279">
        <f t="shared" si="63"/>
        <v>0</v>
      </c>
      <c r="J196" s="279">
        <f t="shared" si="63"/>
        <v>0</v>
      </c>
      <c r="K196" s="279">
        <f t="shared" si="63"/>
        <v>0</v>
      </c>
      <c r="L196" s="279">
        <f t="shared" si="63"/>
        <v>0</v>
      </c>
      <c r="M196" s="279">
        <f t="shared" si="63"/>
        <v>0</v>
      </c>
      <c r="N196" s="279">
        <f t="shared" si="63"/>
        <v>0</v>
      </c>
      <c r="O196" s="279">
        <f t="shared" si="63"/>
        <v>0</v>
      </c>
      <c r="P196" s="279">
        <f t="shared" si="63"/>
        <v>0</v>
      </c>
      <c r="Q196" s="279">
        <f t="shared" si="63"/>
        <v>0</v>
      </c>
      <c r="R196" s="279">
        <f t="shared" si="63"/>
        <v>0</v>
      </c>
      <c r="S196" s="279">
        <f t="shared" si="63"/>
        <v>0</v>
      </c>
      <c r="T196" s="279">
        <f t="shared" si="63"/>
        <v>0</v>
      </c>
      <c r="U196" s="279">
        <f t="shared" si="63"/>
        <v>0</v>
      </c>
      <c r="V196" s="279">
        <f t="shared" si="63"/>
        <v>0</v>
      </c>
      <c r="W196" s="279">
        <f t="shared" si="63"/>
        <v>0</v>
      </c>
      <c r="X196" s="279">
        <f t="shared" si="63"/>
        <v>0</v>
      </c>
      <c r="Y196" s="279">
        <f t="shared" si="63"/>
        <v>0</v>
      </c>
      <c r="Z196" s="279">
        <f t="shared" si="63"/>
        <v>0</v>
      </c>
      <c r="AA196" s="279">
        <f t="shared" si="63"/>
        <v>0</v>
      </c>
      <c r="AB196" s="279">
        <f t="shared" si="63"/>
        <v>0</v>
      </c>
      <c r="AC196" s="279">
        <f t="shared" si="63"/>
        <v>0</v>
      </c>
      <c r="AD196" s="279">
        <f t="shared" si="63"/>
        <v>0</v>
      </c>
      <c r="AE196" s="279">
        <f t="shared" si="63"/>
        <v>0</v>
      </c>
      <c r="AF196" s="279">
        <f t="shared" si="63"/>
        <v>0</v>
      </c>
      <c r="AG196" s="279">
        <f t="shared" si="63"/>
        <v>0</v>
      </c>
      <c r="AH196" s="279">
        <f t="shared" si="63"/>
        <v>0</v>
      </c>
      <c r="AI196" s="279">
        <f t="shared" si="63"/>
        <v>0</v>
      </c>
      <c r="AJ196" s="279">
        <f t="shared" si="63"/>
        <v>0</v>
      </c>
    </row>
    <row r="197" spans="2:36" s="29" customFormat="1" ht="16">
      <c r="B197" s="259"/>
      <c r="C197" s="259"/>
      <c r="D197" s="259"/>
      <c r="E197" s="259"/>
      <c r="F197" s="274"/>
      <c r="G197" s="279"/>
      <c r="H197" s="279"/>
      <c r="I197" s="279"/>
      <c r="J197" s="279"/>
      <c r="K197" s="279"/>
      <c r="L197" s="279"/>
      <c r="M197" s="279"/>
      <c r="N197" s="279"/>
      <c r="O197" s="279"/>
      <c r="P197" s="279"/>
      <c r="Q197" s="279"/>
      <c r="R197" s="279"/>
      <c r="S197" s="279"/>
      <c r="T197" s="279"/>
      <c r="U197" s="279"/>
      <c r="V197" s="279"/>
      <c r="W197" s="279"/>
      <c r="X197" s="279"/>
      <c r="Y197" s="279"/>
      <c r="Z197" s="279"/>
      <c r="AA197" s="279"/>
      <c r="AB197" s="279"/>
      <c r="AC197" s="279"/>
      <c r="AD197" s="279"/>
      <c r="AE197" s="279"/>
      <c r="AF197" s="279"/>
      <c r="AG197" s="279"/>
      <c r="AH197" s="279"/>
      <c r="AI197" s="279"/>
      <c r="AJ197" s="279"/>
    </row>
    <row r="198" spans="2:36" s="29" customFormat="1" ht="16">
      <c r="B198" s="346" t="s">
        <v>234</v>
      </c>
      <c r="C198" s="346"/>
      <c r="D198" s="346"/>
      <c r="E198" s="259"/>
      <c r="F198" s="274"/>
      <c r="G198" s="279"/>
      <c r="H198" s="279"/>
      <c r="I198" s="279"/>
      <c r="J198" s="279"/>
      <c r="K198" s="279"/>
      <c r="L198" s="279"/>
      <c r="M198" s="279"/>
      <c r="N198" s="279"/>
      <c r="O198" s="279"/>
      <c r="P198" s="279"/>
      <c r="Q198" s="279"/>
      <c r="R198" s="279"/>
      <c r="S198" s="279"/>
      <c r="T198" s="279"/>
      <c r="U198" s="279"/>
      <c r="V198" s="279"/>
      <c r="W198" s="279"/>
      <c r="X198" s="279"/>
      <c r="Y198" s="279"/>
      <c r="Z198" s="279"/>
      <c r="AA198" s="279"/>
      <c r="AB198" s="279"/>
      <c r="AC198" s="279"/>
      <c r="AD198" s="279"/>
      <c r="AE198" s="279"/>
      <c r="AF198" s="279"/>
      <c r="AG198" s="279"/>
      <c r="AH198" s="279"/>
      <c r="AI198" s="279"/>
      <c r="AJ198" s="279"/>
    </row>
    <row r="199" spans="2:36" s="29" customFormat="1" ht="16">
      <c r="B199" s="259" t="str">
        <f>B74</f>
        <v>State Income Taxes Saved / (Paid), before ITC/PTC</v>
      </c>
      <c r="C199" s="259"/>
      <c r="D199" s="259"/>
      <c r="E199" s="259"/>
      <c r="F199" s="274"/>
      <c r="G199" s="279" t="str">
        <f>IF(Inputs!$G$83="as generated","N/A",'Cash Flow'!G74)</f>
        <v>N/A</v>
      </c>
      <c r="H199" s="279" t="str">
        <f>IF(Inputs!$G$83="as generated","N/A",'Cash Flow'!H74)</f>
        <v>N/A</v>
      </c>
      <c r="I199" s="279" t="str">
        <f>IF(Inputs!$G$83="as generated","N/A",'Cash Flow'!I74)</f>
        <v>N/A</v>
      </c>
      <c r="J199" s="279" t="str">
        <f>IF(Inputs!$G$83="as generated","N/A",'Cash Flow'!J74)</f>
        <v>N/A</v>
      </c>
      <c r="K199" s="279" t="str">
        <f>IF(Inputs!$G$83="as generated","N/A",'Cash Flow'!K74)</f>
        <v>N/A</v>
      </c>
      <c r="L199" s="279" t="str">
        <f>IF(Inputs!$G$83="as generated","N/A",'Cash Flow'!L74)</f>
        <v>N/A</v>
      </c>
      <c r="M199" s="279" t="str">
        <f>IF(Inputs!$G$83="as generated","N/A",'Cash Flow'!M74)</f>
        <v>N/A</v>
      </c>
      <c r="N199" s="279" t="str">
        <f>IF(Inputs!$G$83="as generated","N/A",'Cash Flow'!N74)</f>
        <v>N/A</v>
      </c>
      <c r="O199" s="279" t="str">
        <f>IF(Inputs!$G$83="as generated","N/A",'Cash Flow'!O74)</f>
        <v>N/A</v>
      </c>
      <c r="P199" s="279" t="str">
        <f>IF(Inputs!$G$83="as generated","N/A",'Cash Flow'!P74)</f>
        <v>N/A</v>
      </c>
      <c r="Q199" s="279" t="str">
        <f>IF(Inputs!$G$83="as generated","N/A",'Cash Flow'!Q74)</f>
        <v>N/A</v>
      </c>
      <c r="R199" s="279" t="str">
        <f>IF(Inputs!$G$83="as generated","N/A",'Cash Flow'!R74)</f>
        <v>N/A</v>
      </c>
      <c r="S199" s="279" t="str">
        <f>IF(Inputs!$G$83="as generated","N/A",'Cash Flow'!S74)</f>
        <v>N/A</v>
      </c>
      <c r="T199" s="279" t="str">
        <f>IF(Inputs!$G$83="as generated","N/A",'Cash Flow'!T74)</f>
        <v>N/A</v>
      </c>
      <c r="U199" s="279" t="str">
        <f>IF(Inputs!$G$83="as generated","N/A",'Cash Flow'!U74)</f>
        <v>N/A</v>
      </c>
      <c r="V199" s="279" t="str">
        <f>IF(Inputs!$G$83="as generated","N/A",'Cash Flow'!V74)</f>
        <v>N/A</v>
      </c>
      <c r="W199" s="279" t="str">
        <f>IF(Inputs!$G$83="as generated","N/A",'Cash Flow'!W74)</f>
        <v>N/A</v>
      </c>
      <c r="X199" s="279" t="str">
        <f>IF(Inputs!$G$83="as generated","N/A",'Cash Flow'!X74)</f>
        <v>N/A</v>
      </c>
      <c r="Y199" s="279" t="str">
        <f>IF(Inputs!$G$83="as generated","N/A",'Cash Flow'!Y74)</f>
        <v>N/A</v>
      </c>
      <c r="Z199" s="279" t="str">
        <f>IF(Inputs!$G$83="as generated","N/A",'Cash Flow'!Z74)</f>
        <v>N/A</v>
      </c>
      <c r="AA199" s="279" t="str">
        <f>IF(Inputs!$G$83="as generated","N/A",'Cash Flow'!AA74)</f>
        <v>N/A</v>
      </c>
      <c r="AB199" s="279" t="str">
        <f>IF(Inputs!$G$83="as generated","N/A",'Cash Flow'!AB74)</f>
        <v>N/A</v>
      </c>
      <c r="AC199" s="279" t="str">
        <f>IF(Inputs!$G$83="as generated","N/A",'Cash Flow'!AC74)</f>
        <v>N/A</v>
      </c>
      <c r="AD199" s="279" t="str">
        <f>IF(Inputs!$G$83="as generated","N/A",'Cash Flow'!AD74)</f>
        <v>N/A</v>
      </c>
      <c r="AE199" s="279" t="str">
        <f>IF(Inputs!$G$83="as generated","N/A",'Cash Flow'!AE74)</f>
        <v>N/A</v>
      </c>
      <c r="AF199" s="279" t="str">
        <f>IF(Inputs!$G$83="as generated","N/A",'Cash Flow'!AF74)</f>
        <v>N/A</v>
      </c>
      <c r="AG199" s="279" t="str">
        <f>IF(Inputs!$G$83="as generated","N/A",'Cash Flow'!AG74)</f>
        <v>N/A</v>
      </c>
      <c r="AH199" s="279" t="str">
        <f>IF(Inputs!$G$83="as generated","N/A",'Cash Flow'!AH74)</f>
        <v>N/A</v>
      </c>
      <c r="AI199" s="279" t="str">
        <f>IF(Inputs!$G$83="as generated","N/A",'Cash Flow'!AI74)</f>
        <v>N/A</v>
      </c>
      <c r="AJ199" s="279" t="str">
        <f>IF(Inputs!$G$83="as generated","N/A",'Cash Flow'!AJ74)</f>
        <v>N/A</v>
      </c>
    </row>
    <row r="200" spans="2:36" s="29" customFormat="1" ht="16">
      <c r="B200" s="259"/>
      <c r="C200" s="259"/>
      <c r="D200" s="259"/>
      <c r="E200" s="259"/>
      <c r="F200" s="274"/>
      <c r="G200" s="279"/>
      <c r="H200" s="279"/>
      <c r="I200" s="279"/>
      <c r="J200" s="279"/>
      <c r="K200" s="279"/>
      <c r="L200" s="279"/>
      <c r="M200" s="279"/>
      <c r="N200" s="279"/>
      <c r="O200" s="279"/>
      <c r="P200" s="279"/>
      <c r="Q200" s="279"/>
      <c r="R200" s="279"/>
      <c r="S200" s="279"/>
      <c r="T200" s="279"/>
      <c r="U200" s="279"/>
      <c r="V200" s="279"/>
      <c r="W200" s="279"/>
      <c r="X200" s="279"/>
      <c r="Y200" s="279"/>
      <c r="Z200" s="279"/>
      <c r="AA200" s="279"/>
      <c r="AB200" s="279"/>
      <c r="AC200" s="279"/>
      <c r="AD200" s="279"/>
      <c r="AE200" s="279"/>
      <c r="AF200" s="279"/>
      <c r="AG200" s="279"/>
      <c r="AH200" s="279"/>
      <c r="AI200" s="279"/>
      <c r="AJ200" s="279"/>
    </row>
    <row r="201" spans="2:36" s="29" customFormat="1" ht="16">
      <c r="B201" s="259" t="s">
        <v>271</v>
      </c>
      <c r="C201" s="259"/>
      <c r="D201" s="259"/>
      <c r="E201" s="259"/>
      <c r="F201" s="274"/>
      <c r="G201" s="279">
        <v>0</v>
      </c>
      <c r="H201" s="279">
        <f>IF(Inputs!$G$83="as generated",0,G204)</f>
        <v>0</v>
      </c>
      <c r="I201" s="279">
        <f>IF(Inputs!$G$83="as generated",0,H204)</f>
        <v>0</v>
      </c>
      <c r="J201" s="279">
        <f>IF(Inputs!$G$83="as generated",0,I204)</f>
        <v>0</v>
      </c>
      <c r="K201" s="279">
        <f>IF(Inputs!$G$83="as generated",0,J204)</f>
        <v>0</v>
      </c>
      <c r="L201" s="279">
        <f>IF(Inputs!$G$83="as generated",0,K204)</f>
        <v>0</v>
      </c>
      <c r="M201" s="279">
        <f>IF(Inputs!$G$83="as generated",0,L204)</f>
        <v>0</v>
      </c>
      <c r="N201" s="279">
        <f>IF(Inputs!$G$83="as generated",0,M204)</f>
        <v>0</v>
      </c>
      <c r="O201" s="279">
        <f>IF(Inputs!$G$83="as generated",0,N204)</f>
        <v>0</v>
      </c>
      <c r="P201" s="279">
        <f>IF(Inputs!$G$83="as generated",0,O204)</f>
        <v>0</v>
      </c>
      <c r="Q201" s="279">
        <f>IF(Inputs!$G$83="as generated",0,P204)</f>
        <v>0</v>
      </c>
      <c r="R201" s="279">
        <f>IF(Inputs!$G$83="as generated",0,Q204)</f>
        <v>0</v>
      </c>
      <c r="S201" s="279">
        <f>IF(Inputs!$G$83="as generated",0,R204)</f>
        <v>0</v>
      </c>
      <c r="T201" s="279">
        <f>IF(Inputs!$G$83="as generated",0,S204)</f>
        <v>0</v>
      </c>
      <c r="U201" s="279">
        <f>IF(Inputs!$G$83="as generated",0,T204)</f>
        <v>0</v>
      </c>
      <c r="V201" s="279">
        <f>IF(Inputs!$G$83="as generated",0,U204)</f>
        <v>0</v>
      </c>
      <c r="W201" s="279">
        <f>IF(Inputs!$G$83="as generated",0,V204)</f>
        <v>0</v>
      </c>
      <c r="X201" s="279">
        <f>IF(Inputs!$G$83="as generated",0,W204)</f>
        <v>0</v>
      </c>
      <c r="Y201" s="279">
        <f>IF(Inputs!$G$83="as generated",0,X204)</f>
        <v>0</v>
      </c>
      <c r="Z201" s="279">
        <f>IF(Inputs!$G$83="as generated",0,Y204)</f>
        <v>0</v>
      </c>
      <c r="AA201" s="279">
        <f>IF(Inputs!$G$83="as generated",0,Z204)</f>
        <v>0</v>
      </c>
      <c r="AB201" s="279">
        <f>IF(Inputs!$G$83="as generated",0,AA204)</f>
        <v>0</v>
      </c>
      <c r="AC201" s="279">
        <f>IF(Inputs!$G$83="as generated",0,AB204)</f>
        <v>0</v>
      </c>
      <c r="AD201" s="279">
        <f>IF(Inputs!$G$83="as generated",0,AC204)</f>
        <v>0</v>
      </c>
      <c r="AE201" s="279">
        <f>IF(Inputs!$G$83="as generated",0,AD204)</f>
        <v>0</v>
      </c>
      <c r="AF201" s="279">
        <f>IF(Inputs!$G$83="as generated",0,AE204)</f>
        <v>0</v>
      </c>
      <c r="AG201" s="279">
        <f>IF(Inputs!$G$83="as generated",0,AF204)</f>
        <v>0</v>
      </c>
      <c r="AH201" s="279">
        <f>IF(Inputs!$G$83="as generated",0,AG204)</f>
        <v>0</v>
      </c>
      <c r="AI201" s="279">
        <f>IF(Inputs!$G$83="as generated",0,AH204)</f>
        <v>0</v>
      </c>
      <c r="AJ201" s="279">
        <f>IF(Inputs!$G$83="as generated",0,AI204)</f>
        <v>0</v>
      </c>
    </row>
    <row r="202" spans="2:36" s="29" customFormat="1" ht="16">
      <c r="B202" s="259" t="s">
        <v>272</v>
      </c>
      <c r="C202" s="259"/>
      <c r="D202" s="259"/>
      <c r="E202" s="259"/>
      <c r="F202" s="274"/>
      <c r="G202" s="279">
        <f>IF(Inputs!$G$83="as generated",0,IF(G199&lt;=0,G196,0))</f>
        <v>0</v>
      </c>
      <c r="H202" s="279">
        <f>IF(Inputs!$G$83="as generated",0,IF(H199&lt;=0,H196,0))</f>
        <v>0</v>
      </c>
      <c r="I202" s="279">
        <f>IF(Inputs!$G$83="as generated",0,IF(I199&lt;=0,I196,0))</f>
        <v>0</v>
      </c>
      <c r="J202" s="279">
        <f>IF(Inputs!$G$83="as generated",0,IF(J199&lt;=0,J196,0))</f>
        <v>0</v>
      </c>
      <c r="K202" s="279">
        <f>IF(Inputs!$G$83="as generated",0,IF(K199&lt;=0,K196,0))</f>
        <v>0</v>
      </c>
      <c r="L202" s="279">
        <f>IF(Inputs!$G$83="as generated",0,IF(L199&lt;=0,L196,0))</f>
        <v>0</v>
      </c>
      <c r="M202" s="279">
        <f>IF(Inputs!$G$83="as generated",0,IF(M199&lt;=0,M196,0))</f>
        <v>0</v>
      </c>
      <c r="N202" s="279">
        <f>IF(Inputs!$G$83="as generated",0,IF(N199&lt;=0,N196,0))</f>
        <v>0</v>
      </c>
      <c r="O202" s="279">
        <f>IF(Inputs!$G$83="as generated",0,IF(O199&lt;=0,O196,0))</f>
        <v>0</v>
      </c>
      <c r="P202" s="279">
        <f>IF(Inputs!$G$83="as generated",0,IF(P199&lt;=0,P196,0))</f>
        <v>0</v>
      </c>
      <c r="Q202" s="279">
        <f>IF(Inputs!$G$83="as generated",0,IF(Q199&lt;=0,Q196,0))</f>
        <v>0</v>
      </c>
      <c r="R202" s="279">
        <f>IF(Inputs!$G$83="as generated",0,IF(R199&lt;=0,R196,0))</f>
        <v>0</v>
      </c>
      <c r="S202" s="279">
        <f>IF(Inputs!$G$83="as generated",0,IF(S199&lt;=0,S196,0))</f>
        <v>0</v>
      </c>
      <c r="T202" s="279">
        <f>IF(Inputs!$G$83="as generated",0,IF(T199&lt;=0,T196,0))</f>
        <v>0</v>
      </c>
      <c r="U202" s="279">
        <f>IF(Inputs!$G$83="as generated",0,IF(U199&lt;=0,U196,0))</f>
        <v>0</v>
      </c>
      <c r="V202" s="279">
        <f>IF(Inputs!$G$83="as generated",0,IF(V199&lt;=0,V196,0))</f>
        <v>0</v>
      </c>
      <c r="W202" s="279">
        <f>IF(Inputs!$G$83="as generated",0,IF(W199&lt;=0,W196,0))</f>
        <v>0</v>
      </c>
      <c r="X202" s="279">
        <f>IF(Inputs!$G$83="as generated",0,IF(X199&lt;=0,X196,0))</f>
        <v>0</v>
      </c>
      <c r="Y202" s="279">
        <f>IF(Inputs!$G$83="as generated",0,IF(Y199&lt;=0,Y196,0))</f>
        <v>0</v>
      </c>
      <c r="Z202" s="279">
        <f>IF(Inputs!$G$83="as generated",0,IF(Z199&lt;=0,Z196,0))</f>
        <v>0</v>
      </c>
      <c r="AA202" s="279">
        <f>IF(Inputs!$G$83="as generated",0,IF(AA199&lt;=0,AA196,0))</f>
        <v>0</v>
      </c>
      <c r="AB202" s="279">
        <f>IF(Inputs!$G$83="as generated",0,IF(AB199&lt;=0,AB196,0))</f>
        <v>0</v>
      </c>
      <c r="AC202" s="279">
        <f>IF(Inputs!$G$83="as generated",0,IF(AC199&lt;=0,AC196,0))</f>
        <v>0</v>
      </c>
      <c r="AD202" s="279">
        <f>IF(Inputs!$G$83="as generated",0,IF(AD199&lt;=0,AD196,0))</f>
        <v>0</v>
      </c>
      <c r="AE202" s="279">
        <f>IF(Inputs!$G$83="as generated",0,IF(AE199&lt;=0,AE196,0))</f>
        <v>0</v>
      </c>
      <c r="AF202" s="279">
        <f>IF(Inputs!$G$83="as generated",0,IF(AF199&lt;=0,AF196,0))</f>
        <v>0</v>
      </c>
      <c r="AG202" s="279">
        <f>IF(Inputs!$G$83="as generated",0,IF(AG199&lt;=0,AG196,0))</f>
        <v>0</v>
      </c>
      <c r="AH202" s="279">
        <f>IF(Inputs!$G$83="as generated",0,IF(AH199&lt;=0,AH196,0))</f>
        <v>0</v>
      </c>
      <c r="AI202" s="279">
        <f>IF(Inputs!$G$83="as generated",0,IF(AI199&lt;=0,AI196,0))</f>
        <v>0</v>
      </c>
      <c r="AJ202" s="279">
        <f>IF(Inputs!$G$83="as generated",0,IF(AJ199&lt;=0,AJ196,0))</f>
        <v>0</v>
      </c>
    </row>
    <row r="203" spans="2:36" s="29" customFormat="1" ht="16">
      <c r="B203" s="259" t="s">
        <v>273</v>
      </c>
      <c r="C203" s="259"/>
      <c r="D203" s="259"/>
      <c r="E203" s="259"/>
      <c r="F203" s="274"/>
      <c r="G203" s="279">
        <f>IF(Inputs!$G$83="as generated",0,IF(G$199&lt;0,MAX(G$199,-F$204),0))</f>
        <v>0</v>
      </c>
      <c r="H203" s="279">
        <f>IF(Inputs!$G$83="as generated",0,IF(H$199&lt;0,MAX(H$199,-G$204),0))</f>
        <v>0</v>
      </c>
      <c r="I203" s="279">
        <f>IF(Inputs!$G$83="as generated",0,IF(I$199&lt;0,MAX(I$199,-H$204),0))</f>
        <v>0</v>
      </c>
      <c r="J203" s="279">
        <f>IF(Inputs!$G$83="as generated",0,IF(J$199&lt;0,MAX(J$199,-I$204),0))</f>
        <v>0</v>
      </c>
      <c r="K203" s="279">
        <f>IF(Inputs!$G$83="as generated",0,IF(K$199&lt;0,MAX(K$199,-J$204),0))</f>
        <v>0</v>
      </c>
      <c r="L203" s="279">
        <f>IF(Inputs!$G$83="as generated",0,IF(L$199&lt;0,MAX(L$199,-K$204),0))</f>
        <v>0</v>
      </c>
      <c r="M203" s="279">
        <f>IF(Inputs!$G$83="as generated",0,IF(M$199&lt;0,MAX(M$199,-L$204),0))</f>
        <v>0</v>
      </c>
      <c r="N203" s="279">
        <f>IF(Inputs!$G$83="as generated",0,IF(N$199&lt;0,MAX(N$199,-M$204),0))</f>
        <v>0</v>
      </c>
      <c r="O203" s="279">
        <f>IF(Inputs!$G$83="as generated",0,IF(O$199&lt;0,MAX(O$199,-N$204),0))</f>
        <v>0</v>
      </c>
      <c r="P203" s="279">
        <f>IF(Inputs!$G$83="as generated",0,IF(P$199&lt;0,MAX(P$199,-O$204),0))</f>
        <v>0</v>
      </c>
      <c r="Q203" s="279">
        <f>IF(Inputs!$G$83="as generated",0,IF(Q$199&lt;0,MAX(Q$199,-P$204),0))</f>
        <v>0</v>
      </c>
      <c r="R203" s="279">
        <f>IF(Inputs!$G$83="as generated",0,IF(R$199&lt;0,MAX(R$199,-Q$204),0))</f>
        <v>0</v>
      </c>
      <c r="S203" s="279">
        <f>IF(Inputs!$G$83="as generated",0,IF(S$199&lt;0,MAX(S$199,-R$204),0))</f>
        <v>0</v>
      </c>
      <c r="T203" s="279">
        <f>IF(Inputs!$G$83="as generated",0,IF(T$199&lt;0,MAX(T$199,-S$204),0))</f>
        <v>0</v>
      </c>
      <c r="U203" s="279">
        <f>IF(Inputs!$G$83="as generated",0,IF(U$199&lt;0,MAX(U$199,-T$204),0))</f>
        <v>0</v>
      </c>
      <c r="V203" s="279">
        <f>IF(Inputs!$G$83="as generated",0,IF(V$199&lt;0,MAX(V$199,-U$204),0))</f>
        <v>0</v>
      </c>
      <c r="W203" s="279">
        <f>IF(Inputs!$G$83="as generated",0,IF(W$199&lt;0,MAX(W$199,-V$204),0))</f>
        <v>0</v>
      </c>
      <c r="X203" s="279">
        <f>IF(Inputs!$G$83="as generated",0,IF(X$199&lt;0,MAX(X$199,-W$204),0))</f>
        <v>0</v>
      </c>
      <c r="Y203" s="279">
        <f>IF(Inputs!$G$83="as generated",0,IF(Y$199&lt;0,MAX(Y$199,-X$204),0))</f>
        <v>0</v>
      </c>
      <c r="Z203" s="279">
        <f>IF(Inputs!$G$83="as generated",0,IF(Z$199&lt;0,MAX(Z$199,-Y$204),0))</f>
        <v>0</v>
      </c>
      <c r="AA203" s="279">
        <f>IF(Inputs!$G$83="as generated",0,IF(AA$199&lt;0,MAX(AA$199,-Z$204),0))</f>
        <v>0</v>
      </c>
      <c r="AB203" s="279">
        <f>IF(Inputs!$G$83="as generated",0,IF(AB$199&lt;0,MAX(AB$199,-AA$204),0))</f>
        <v>0</v>
      </c>
      <c r="AC203" s="279">
        <f>IF(Inputs!$G$83="as generated",0,IF(AC$199&lt;0,MAX(AC$199,-AB$204),0))</f>
        <v>0</v>
      </c>
      <c r="AD203" s="279">
        <f>IF(Inputs!$G$83="as generated",0,IF(AD$199&lt;0,MAX(AD$199,-AC$204),0))</f>
        <v>0</v>
      </c>
      <c r="AE203" s="279">
        <f>IF(Inputs!$G$83="as generated",0,IF(AE$199&lt;0,MAX(AE$199,-AD$204),0))</f>
        <v>0</v>
      </c>
      <c r="AF203" s="279">
        <f>IF(Inputs!$G$83="as generated",0,IF(AF$199&lt;0,MAX(AF$199,-AE$204),0))</f>
        <v>0</v>
      </c>
      <c r="AG203" s="279">
        <f>IF(Inputs!$G$83="as generated",0,IF(AG$199&lt;0,MAX(AG$199,-AF$204),0))</f>
        <v>0</v>
      </c>
      <c r="AH203" s="279">
        <f>IF(Inputs!$G$83="as generated",0,IF(AH$199&lt;0,MAX(AH$199,-AG$204),0))</f>
        <v>0</v>
      </c>
      <c r="AI203" s="279">
        <f>IF(Inputs!$G$83="as generated",0,IF(AI$199&lt;0,MAX(AI$199,-AH$204),0))</f>
        <v>0</v>
      </c>
      <c r="AJ203" s="279">
        <f>IF(Inputs!$G$83="as generated",0,IF(AJ$199&lt;0,MAX(AJ$199,-AI$204),0))</f>
        <v>0</v>
      </c>
    </row>
    <row r="204" spans="2:36" s="29" customFormat="1" ht="16">
      <c r="B204" s="259" t="s">
        <v>274</v>
      </c>
      <c r="C204" s="259"/>
      <c r="D204" s="259"/>
      <c r="E204" s="259"/>
      <c r="F204" s="279">
        <v>0</v>
      </c>
      <c r="G204" s="279">
        <f>SUM(G201:G203)</f>
        <v>0</v>
      </c>
      <c r="H204" s="279">
        <f t="shared" ref="H204:AJ204" si="64">SUM(H201:H203)</f>
        <v>0</v>
      </c>
      <c r="I204" s="279">
        <f t="shared" si="64"/>
        <v>0</v>
      </c>
      <c r="J204" s="279">
        <f t="shared" si="64"/>
        <v>0</v>
      </c>
      <c r="K204" s="279">
        <f t="shared" si="64"/>
        <v>0</v>
      </c>
      <c r="L204" s="279">
        <f t="shared" si="64"/>
        <v>0</v>
      </c>
      <c r="M204" s="279">
        <f t="shared" si="64"/>
        <v>0</v>
      </c>
      <c r="N204" s="279">
        <f t="shared" si="64"/>
        <v>0</v>
      </c>
      <c r="O204" s="279">
        <f t="shared" si="64"/>
        <v>0</v>
      </c>
      <c r="P204" s="279">
        <f t="shared" si="64"/>
        <v>0</v>
      </c>
      <c r="Q204" s="279">
        <f t="shared" si="64"/>
        <v>0</v>
      </c>
      <c r="R204" s="279">
        <f t="shared" si="64"/>
        <v>0</v>
      </c>
      <c r="S204" s="279">
        <f t="shared" si="64"/>
        <v>0</v>
      </c>
      <c r="T204" s="279">
        <f t="shared" si="64"/>
        <v>0</v>
      </c>
      <c r="U204" s="279">
        <f t="shared" si="64"/>
        <v>0</v>
      </c>
      <c r="V204" s="279">
        <f t="shared" si="64"/>
        <v>0</v>
      </c>
      <c r="W204" s="279">
        <f t="shared" si="64"/>
        <v>0</v>
      </c>
      <c r="X204" s="279">
        <f t="shared" si="64"/>
        <v>0</v>
      </c>
      <c r="Y204" s="279">
        <f t="shared" si="64"/>
        <v>0</v>
      </c>
      <c r="Z204" s="279">
        <f t="shared" si="64"/>
        <v>0</v>
      </c>
      <c r="AA204" s="279">
        <f t="shared" si="64"/>
        <v>0</v>
      </c>
      <c r="AB204" s="279">
        <f t="shared" si="64"/>
        <v>0</v>
      </c>
      <c r="AC204" s="279">
        <f t="shared" si="64"/>
        <v>0</v>
      </c>
      <c r="AD204" s="279">
        <f t="shared" si="64"/>
        <v>0</v>
      </c>
      <c r="AE204" s="279">
        <f t="shared" si="64"/>
        <v>0</v>
      </c>
      <c r="AF204" s="279">
        <f t="shared" si="64"/>
        <v>0</v>
      </c>
      <c r="AG204" s="279">
        <f t="shared" si="64"/>
        <v>0</v>
      </c>
      <c r="AH204" s="279">
        <f t="shared" si="64"/>
        <v>0</v>
      </c>
      <c r="AI204" s="279">
        <f t="shared" si="64"/>
        <v>0</v>
      </c>
      <c r="AJ204" s="279">
        <f t="shared" si="64"/>
        <v>0</v>
      </c>
    </row>
    <row r="205" spans="2:36" s="29" customFormat="1" ht="17" thickBot="1">
      <c r="B205" s="281"/>
      <c r="C205" s="281"/>
      <c r="D205" s="281"/>
      <c r="E205" s="281"/>
      <c r="F205" s="281"/>
      <c r="G205" s="282"/>
      <c r="H205" s="283"/>
      <c r="I205" s="281"/>
      <c r="J205" s="281"/>
      <c r="K205" s="281"/>
      <c r="L205" s="281"/>
      <c r="M205" s="281"/>
      <c r="N205" s="281"/>
      <c r="O205" s="281"/>
      <c r="P205" s="281"/>
      <c r="Q205" s="281"/>
      <c r="R205" s="281"/>
      <c r="S205" s="281"/>
      <c r="T205" s="281"/>
      <c r="U205" s="281"/>
      <c r="V205" s="281"/>
      <c r="W205" s="281"/>
      <c r="X205" s="281"/>
      <c r="Y205" s="281"/>
      <c r="Z205" s="281"/>
      <c r="AA205" s="281"/>
      <c r="AB205" s="281"/>
      <c r="AC205" s="281"/>
      <c r="AD205" s="281"/>
      <c r="AE205" s="281"/>
      <c r="AF205" s="281"/>
      <c r="AG205" s="281"/>
      <c r="AH205" s="281"/>
      <c r="AI205" s="281"/>
      <c r="AJ205" s="281"/>
    </row>
    <row r="206" spans="2:36">
      <c r="B206" s="303"/>
      <c r="C206" s="303"/>
      <c r="D206" s="303"/>
      <c r="E206" s="303"/>
      <c r="F206" s="303"/>
      <c r="G206" s="303"/>
      <c r="H206" s="303"/>
      <c r="I206" s="303"/>
      <c r="J206" s="303"/>
      <c r="K206" s="303"/>
      <c r="L206" s="303"/>
      <c r="M206" s="303"/>
      <c r="N206" s="303"/>
      <c r="O206" s="303"/>
      <c r="P206" s="303"/>
      <c r="Q206" s="303"/>
      <c r="R206" s="303"/>
      <c r="S206" s="303"/>
      <c r="T206" s="303"/>
      <c r="U206" s="303"/>
      <c r="V206" s="303"/>
      <c r="W206" s="303"/>
      <c r="X206" s="303"/>
      <c r="Y206" s="303"/>
      <c r="Z206" s="303"/>
      <c r="AA206" s="303"/>
      <c r="AB206" s="303"/>
      <c r="AC206" s="303"/>
      <c r="AD206" s="303"/>
      <c r="AE206" s="303"/>
      <c r="AF206" s="303"/>
      <c r="AG206" s="303"/>
      <c r="AH206" s="303"/>
      <c r="AI206" s="303"/>
      <c r="AJ206" s="303"/>
    </row>
    <row r="207" spans="2:36" ht="16">
      <c r="B207" s="258" t="s">
        <v>144</v>
      </c>
      <c r="C207" s="258"/>
      <c r="D207" s="258"/>
      <c r="E207" s="303"/>
      <c r="F207" s="303"/>
      <c r="G207" s="303"/>
      <c r="H207" s="303"/>
      <c r="I207" s="303"/>
      <c r="J207" s="303"/>
      <c r="K207" s="303"/>
      <c r="L207" s="303"/>
      <c r="M207" s="303"/>
      <c r="N207" s="303"/>
      <c r="O207" s="303"/>
      <c r="P207" s="303"/>
      <c r="Q207" s="303"/>
      <c r="R207" s="303"/>
      <c r="S207" s="303"/>
      <c r="T207" s="303"/>
      <c r="U207" s="303"/>
      <c r="V207" s="303"/>
      <c r="W207" s="303"/>
      <c r="X207" s="303"/>
      <c r="Y207" s="303"/>
      <c r="Z207" s="303"/>
      <c r="AA207" s="303"/>
      <c r="AB207" s="303"/>
      <c r="AC207" s="303"/>
      <c r="AD207" s="303"/>
      <c r="AE207" s="303"/>
      <c r="AF207" s="303"/>
      <c r="AG207" s="303"/>
      <c r="AH207" s="303"/>
      <c r="AI207" s="303"/>
      <c r="AJ207" s="303"/>
    </row>
    <row r="208" spans="2:36" ht="16">
      <c r="B208" s="259" t="s">
        <v>85</v>
      </c>
      <c r="C208" s="278"/>
      <c r="D208" s="278"/>
      <c r="E208" s="303"/>
      <c r="F208" s="321">
        <v>0</v>
      </c>
      <c r="G208" s="296">
        <f>F216</f>
        <v>1478954.9482940962</v>
      </c>
      <c r="H208" s="296">
        <f t="shared" ref="H208:AJ208" si="65">G216</f>
        <v>1478954.9482940962</v>
      </c>
      <c r="I208" s="296">
        <f t="shared" si="65"/>
        <v>1478954.9482940962</v>
      </c>
      <c r="J208" s="296">
        <f t="shared" si="65"/>
        <v>1478954.9482940962</v>
      </c>
      <c r="K208" s="296">
        <f t="shared" si="65"/>
        <v>1478954.9482940962</v>
      </c>
      <c r="L208" s="296">
        <f t="shared" si="65"/>
        <v>1478954.9482940962</v>
      </c>
      <c r="M208" s="296">
        <f t="shared" si="65"/>
        <v>1478954.9482940962</v>
      </c>
      <c r="N208" s="296">
        <f t="shared" si="65"/>
        <v>1478954.9482940962</v>
      </c>
      <c r="O208" s="296">
        <f t="shared" si="65"/>
        <v>1478954.9482940962</v>
      </c>
      <c r="P208" s="296">
        <f t="shared" si="65"/>
        <v>1478954.9482940962</v>
      </c>
      <c r="Q208" s="296">
        <f t="shared" si="65"/>
        <v>1478954.9482940962</v>
      </c>
      <c r="R208" s="296">
        <f t="shared" si="65"/>
        <v>1478954.9482940962</v>
      </c>
      <c r="S208" s="296">
        <f t="shared" si="65"/>
        <v>1478954.9482940962</v>
      </c>
      <c r="T208" s="296">
        <f t="shared" si="65"/>
        <v>1478954.9482940962</v>
      </c>
      <c r="U208" s="296">
        <f t="shared" si="65"/>
        <v>1064065.6323816241</v>
      </c>
      <c r="V208" s="296">
        <f t="shared" si="65"/>
        <v>1064065.6323816241</v>
      </c>
      <c r="W208" s="296">
        <f t="shared" si="65"/>
        <v>1064065.6323816241</v>
      </c>
      <c r="X208" s="296">
        <f t="shared" si="65"/>
        <v>1064065.6323816241</v>
      </c>
      <c r="Y208" s="296">
        <f t="shared" si="65"/>
        <v>1064065.6323816241</v>
      </c>
      <c r="Z208" s="296">
        <f t="shared" si="65"/>
        <v>1064065.6323816241</v>
      </c>
      <c r="AA208" s="296">
        <f t="shared" si="65"/>
        <v>0</v>
      </c>
      <c r="AB208" s="296">
        <f t="shared" si="65"/>
        <v>0</v>
      </c>
      <c r="AC208" s="296">
        <f t="shared" si="65"/>
        <v>0</v>
      </c>
      <c r="AD208" s="296">
        <f t="shared" si="65"/>
        <v>0</v>
      </c>
      <c r="AE208" s="296">
        <f t="shared" si="65"/>
        <v>0</v>
      </c>
      <c r="AF208" s="296">
        <f t="shared" si="65"/>
        <v>0</v>
      </c>
      <c r="AG208" s="296">
        <f t="shared" si="65"/>
        <v>0</v>
      </c>
      <c r="AH208" s="296">
        <f t="shared" si="65"/>
        <v>0</v>
      </c>
      <c r="AI208" s="296">
        <f t="shared" si="65"/>
        <v>0</v>
      </c>
      <c r="AJ208" s="296">
        <f t="shared" si="65"/>
        <v>0</v>
      </c>
    </row>
    <row r="209" spans="2:36" ht="16">
      <c r="B209" s="278" t="s">
        <v>38</v>
      </c>
      <c r="C209" s="278"/>
      <c r="D209" s="278"/>
      <c r="E209" s="303"/>
      <c r="F209" s="296">
        <f>Inputs!$Q$73</f>
        <v>414889.31591247208</v>
      </c>
      <c r="G209" s="296">
        <f>IF(G$2=Inputs!$G$58+1,-$F$209,0)</f>
        <v>0</v>
      </c>
      <c r="H209" s="296">
        <f>IF(H$2=Inputs!$G$58+1,-$F$209,0)</f>
        <v>0</v>
      </c>
      <c r="I209" s="296">
        <f>IF(I$2=Inputs!$G$58+1,-$F$209,0)</f>
        <v>0</v>
      </c>
      <c r="J209" s="296">
        <f>IF(J$2=Inputs!$G$58+1,-$F$209,0)</f>
        <v>0</v>
      </c>
      <c r="K209" s="296">
        <f>IF(K$2=Inputs!$G$58+1,-$F$209,0)</f>
        <v>0</v>
      </c>
      <c r="L209" s="296">
        <f>IF(L$2=Inputs!$G$58+1,-$F$209,0)</f>
        <v>0</v>
      </c>
      <c r="M209" s="296">
        <f>IF(M$2=Inputs!$G$58+1,-$F$209,0)</f>
        <v>0</v>
      </c>
      <c r="N209" s="296">
        <f>IF(N$2=Inputs!$G$58+1,-$F$209,0)</f>
        <v>0</v>
      </c>
      <c r="O209" s="296">
        <f>IF(O$2=Inputs!$G$58+1,-$F$209,0)</f>
        <v>0</v>
      </c>
      <c r="P209" s="296">
        <f>IF(P$2=Inputs!$G$58+1,-$F$209,0)</f>
        <v>0</v>
      </c>
      <c r="Q209" s="296">
        <f>IF(Q$2=Inputs!$G$58+1,-$F$209,0)</f>
        <v>0</v>
      </c>
      <c r="R209" s="296">
        <f>IF(R$2=Inputs!$G$58+1,-$F$209,0)</f>
        <v>0</v>
      </c>
      <c r="S209" s="296">
        <f>IF(S$2=Inputs!$G$58+1,-$F$209,0)</f>
        <v>0</v>
      </c>
      <c r="T209" s="296">
        <f>IF(T$2=Inputs!$G$58+1,-$F$209,0)</f>
        <v>-414889.31591247208</v>
      </c>
      <c r="U209" s="296">
        <f>IF(U$2=Inputs!$G$58+1,-$F$209,0)</f>
        <v>0</v>
      </c>
      <c r="V209" s="296">
        <f>IF(V$2=Inputs!$G$58+1,-$F$209,0)</f>
        <v>0</v>
      </c>
      <c r="W209" s="296">
        <f>IF(W$2=Inputs!$G$58+1,-$F$209,0)</f>
        <v>0</v>
      </c>
      <c r="X209" s="296">
        <f>IF(X$2=Inputs!$G$58+1,-$F$209,0)</f>
        <v>0</v>
      </c>
      <c r="Y209" s="296">
        <f>IF(Y$2=Inputs!$G$58+1,-$F$209,0)</f>
        <v>0</v>
      </c>
      <c r="Z209" s="296">
        <f>IF(Z$2=Inputs!$G$58+1,-$F$209,0)</f>
        <v>0</v>
      </c>
      <c r="AA209" s="296">
        <f>IF(AA$2=Inputs!$G$58+1,-$F$209,0)</f>
        <v>0</v>
      </c>
      <c r="AB209" s="296">
        <f>IF(AB$2=Inputs!$G$58+1,-$F$209,0)</f>
        <v>0</v>
      </c>
      <c r="AC209" s="296">
        <f>IF(AC$2=Inputs!$G$58+1,-$F$209,0)</f>
        <v>0</v>
      </c>
      <c r="AD209" s="296">
        <f>IF(AD$2=Inputs!$G$58+1,-$F$209,0)</f>
        <v>0</v>
      </c>
      <c r="AE209" s="296">
        <f>IF(AE$2=Inputs!$G$58+1,-$F$209,0)</f>
        <v>0</v>
      </c>
      <c r="AF209" s="296">
        <f>IF(AF$2=Inputs!$G$58+1,-$F$209,0)</f>
        <v>0</v>
      </c>
      <c r="AG209" s="296">
        <f>IF(AG$2=Inputs!$G$58+1,-$F$209,0)</f>
        <v>0</v>
      </c>
      <c r="AH209" s="296">
        <f>IF(AH$2=Inputs!$G$58+1,-$F$209,0)</f>
        <v>0</v>
      </c>
      <c r="AI209" s="296">
        <f>IF(AI$2=Inputs!$G$58+1,-$F$209,0)</f>
        <v>0</v>
      </c>
      <c r="AJ209" s="296">
        <f>IF(AJ$2=Inputs!$G$58+1,-$F$209,0)</f>
        <v>0</v>
      </c>
    </row>
    <row r="210" spans="2:36" ht="16">
      <c r="B210" s="278" t="s">
        <v>179</v>
      </c>
      <c r="C210" s="278"/>
      <c r="D210" s="278"/>
      <c r="E210" s="303"/>
      <c r="F210" s="296">
        <f>Inputs!$Q$76</f>
        <v>1064065.6323816241</v>
      </c>
      <c r="G210" s="296">
        <f>IF(G$2=Inputs!$G$19,-$F$210,0)</f>
        <v>0</v>
      </c>
      <c r="H210" s="296">
        <f>IF(H$2=Inputs!$G$19,-$F$210,0)</f>
        <v>0</v>
      </c>
      <c r="I210" s="296">
        <f>IF(I$2=Inputs!$G$19,-$F$210,0)</f>
        <v>0</v>
      </c>
      <c r="J210" s="296">
        <f>IF(J$2=Inputs!$G$19,-$F$210,0)</f>
        <v>0</v>
      </c>
      <c r="K210" s="296">
        <f>IF(K$2=Inputs!$G$19,-$F$210,0)</f>
        <v>0</v>
      </c>
      <c r="L210" s="296">
        <f>IF(L$2=Inputs!$G$19,-$F$210,0)</f>
        <v>0</v>
      </c>
      <c r="M210" s="296">
        <f>IF(M$2=Inputs!$G$19,-$F$210,0)</f>
        <v>0</v>
      </c>
      <c r="N210" s="296">
        <f>IF(N$2=Inputs!$G$19,-$F$210,0)</f>
        <v>0</v>
      </c>
      <c r="O210" s="296">
        <f>IF(O$2=Inputs!$G$19,-$F$210,0)</f>
        <v>0</v>
      </c>
      <c r="P210" s="296">
        <f>IF(P$2=Inputs!$G$19,-$F$210,0)</f>
        <v>0</v>
      </c>
      <c r="Q210" s="296">
        <f>IF(Q$2=Inputs!$G$19,-$F$210,0)</f>
        <v>0</v>
      </c>
      <c r="R210" s="296">
        <f>IF(R$2=Inputs!$G$19,-$F$210,0)</f>
        <v>0</v>
      </c>
      <c r="S210" s="296">
        <f>IF(S$2=Inputs!$G$19,-$F$210,0)</f>
        <v>0</v>
      </c>
      <c r="T210" s="296">
        <f>IF(T$2=Inputs!$G$19,-$F$210,0)</f>
        <v>0</v>
      </c>
      <c r="U210" s="296">
        <f>IF(U$2=Inputs!$G$19,-$F$210,0)</f>
        <v>0</v>
      </c>
      <c r="V210" s="296">
        <f>IF(V$2=Inputs!$G$19,-$F$210,0)</f>
        <v>0</v>
      </c>
      <c r="W210" s="296">
        <f>IF(W$2=Inputs!$G$19,-$F$210,0)</f>
        <v>0</v>
      </c>
      <c r="X210" s="296">
        <f>IF(X$2=Inputs!$G$19,-$F$210,0)</f>
        <v>0</v>
      </c>
      <c r="Y210" s="296">
        <f>IF(Y$2=Inputs!$G$19,-$F$210,0)</f>
        <v>0</v>
      </c>
      <c r="Z210" s="296">
        <f>IF(Z$2=Inputs!$G$19,-$F$210,0)</f>
        <v>-1064065.6323816241</v>
      </c>
      <c r="AA210" s="296">
        <f>IF(AA$2=Inputs!$G$19,-$F$210,0)</f>
        <v>0</v>
      </c>
      <c r="AB210" s="296">
        <f>IF(AB$2=Inputs!$G$19,-$F$210,0)</f>
        <v>0</v>
      </c>
      <c r="AC210" s="296">
        <f>IF(AC$2=Inputs!$G$19,-$F$210,0)</f>
        <v>0</v>
      </c>
      <c r="AD210" s="296">
        <f>IF(AD$2=Inputs!$G$19,-$F$210,0)</f>
        <v>0</v>
      </c>
      <c r="AE210" s="296">
        <f>IF(AE$2=Inputs!$G$19,-$F$210,0)</f>
        <v>0</v>
      </c>
      <c r="AF210" s="296">
        <f>IF(AF$2=Inputs!$G$19,-$F$210,0)</f>
        <v>0</v>
      </c>
      <c r="AG210" s="296">
        <f>IF(AG$2=Inputs!$G$19,-$F$210,0)</f>
        <v>0</v>
      </c>
      <c r="AH210" s="296">
        <f>IF(AH$2=Inputs!$G$19,-$F$210,0)</f>
        <v>0</v>
      </c>
      <c r="AI210" s="296">
        <f>IF(AI$2=Inputs!$G$19,-$F$210,0)</f>
        <v>0</v>
      </c>
      <c r="AJ210" s="296">
        <f>IF(AJ$2=Inputs!$G$19,-$F$210,0)</f>
        <v>0</v>
      </c>
    </row>
    <row r="211" spans="2:36" ht="16">
      <c r="B211" s="278" t="s">
        <v>357</v>
      </c>
      <c r="C211" s="278"/>
      <c r="D211" s="666" t="s">
        <v>361</v>
      </c>
      <c r="E211" s="667">
        <v>10</v>
      </c>
      <c r="F211" s="321">
        <v>0</v>
      </c>
      <c r="G211" s="296">
        <f>IF(AND(G$2&lt;Inputs!$Q$55,(G$2+$E$211)&gt;=Inputs!$Q$55),$E$139/MIN($E211,(Inputs!$Q$55-1)),IF(G$2=Inputs!$Q$55,-($E$139),0))</f>
        <v>0</v>
      </c>
      <c r="H211" s="296">
        <f>IF(AND(H$2&lt;Inputs!$Q$55,(H$2+$E$211)&gt;=Inputs!$Q$55),$E$139/MIN($E211,(Inputs!$Q$55-1)),IF(H$2=Inputs!$Q$55,-($E$139),0))</f>
        <v>0</v>
      </c>
      <c r="I211" s="296">
        <f>IF(AND(I$2&lt;Inputs!$Q$55,(I$2+$E$211)&gt;=Inputs!$Q$55),$E$139/MIN($E211,(Inputs!$Q$55-1)),IF(I$2=Inputs!$Q$55,-($E$139),0))</f>
        <v>0</v>
      </c>
      <c r="J211" s="296">
        <f>IF(AND(J$2&lt;Inputs!$Q$55,(J$2+$E$211)&gt;=Inputs!$Q$55),$E$139/MIN($E211,(Inputs!$Q$55-1)),IF(J$2=Inputs!$Q$55,-($E$139),0))</f>
        <v>0</v>
      </c>
      <c r="K211" s="296">
        <f>IF(AND(K$2&lt;Inputs!$Q$55,(K$2+$E$211)&gt;=Inputs!$Q$55),$E$139/MIN($E211,(Inputs!$Q$55-1)),IF(K$2=Inputs!$Q$55,-($E$139),0))</f>
        <v>0</v>
      </c>
      <c r="L211" s="296">
        <f>IF(AND(L$2&lt;Inputs!$Q$55,(L$2+$E$211)&gt;=Inputs!$Q$55),$E$139/MIN($E211,(Inputs!$Q$55-1)),IF(L$2=Inputs!$Q$55,-($E$139),0))</f>
        <v>0</v>
      </c>
      <c r="M211" s="296">
        <f>IF(AND(M$2&lt;Inputs!$Q$55,(M$2+$E$211)&gt;=Inputs!$Q$55),$E$139/MIN($E211,(Inputs!$Q$55-1)),IF(M$2=Inputs!$Q$55,-($E$139),0))</f>
        <v>0</v>
      </c>
      <c r="N211" s="296">
        <f>IF(AND(N$2&lt;Inputs!$Q$55,(N$2+$E$211)&gt;=Inputs!$Q$55),$E$139/MIN($E211,(Inputs!$Q$55-1)),IF(N$2=Inputs!$Q$55,-($E$139),0))</f>
        <v>0</v>
      </c>
      <c r="O211" s="296">
        <f>IF(AND(O$2&lt;Inputs!$Q$55,(O$2+$E$211)&gt;=Inputs!$Q$55),$E$139/MIN($E211,(Inputs!$Q$55-1)),IF(O$2=Inputs!$Q$55,-($E$139),0))</f>
        <v>0</v>
      </c>
      <c r="P211" s="296">
        <f>IF(AND(P$2&lt;Inputs!$Q$55,(P$2+$E$211)&gt;=Inputs!$Q$55),$E$139/MIN($E211,(Inputs!$Q$55-1)),IF(P$2=Inputs!$Q$55,-($E$139),0))</f>
        <v>0</v>
      </c>
      <c r="Q211" s="296">
        <f>IF(AND(Q$2&lt;Inputs!$Q$55,(Q$2+$E$211)&gt;=Inputs!$Q$55),$E$139/MIN($E211,(Inputs!$Q$55-1)),IF(Q$2=Inputs!$Q$55,-($E$139),0))</f>
        <v>0</v>
      </c>
      <c r="R211" s="296">
        <f>IF(AND(R$2&lt;Inputs!$Q$55,(R$2+$E$211)&gt;=Inputs!$Q$55),$E$139/MIN($E211,(Inputs!$Q$55-1)),IF(R$2=Inputs!$Q$55,-($E$139),0))</f>
        <v>0</v>
      </c>
      <c r="S211" s="296">
        <f>IF(AND(S$2&lt;Inputs!$Q$55,(S$2+$E$211)&gt;=Inputs!$Q$55),$E$139/MIN($E211,(Inputs!$Q$55-1)),IF(S$2=Inputs!$Q$55,-($E$139),0))</f>
        <v>0</v>
      </c>
      <c r="T211" s="296">
        <f>IF(AND(T$2&lt;Inputs!$Q$55,(T$2+$E$211)&gt;=Inputs!$Q$55),$E$139/MIN($E211,(Inputs!$Q$55-1)),IF(T$2=Inputs!$Q$55,-($E$139),0))</f>
        <v>0</v>
      </c>
      <c r="U211" s="296">
        <f>IF(AND(U$2&lt;Inputs!$Q$55,(U$2+$E$211)&gt;=Inputs!$Q$55),$E$139/MIN($E211,(Inputs!$Q$55-1)),IF(U$2=Inputs!$Q$55,-($E$139),0))</f>
        <v>0</v>
      </c>
      <c r="V211" s="296">
        <f>IF(AND(V$2&lt;Inputs!$Q$55,(V$2+$E$211)&gt;=Inputs!$Q$55),$E$139/MIN($E211,(Inputs!$Q$55-1)),IF(V$2=Inputs!$Q$55,-($E$139),0))</f>
        <v>0</v>
      </c>
      <c r="W211" s="296">
        <f>IF(AND(W$2&lt;Inputs!$Q$55,(W$2+$E$211)&gt;=Inputs!$Q$55),$E$139/MIN($E211,(Inputs!$Q$55-1)),IF(W$2=Inputs!$Q$55,-($E$139),0))</f>
        <v>0</v>
      </c>
      <c r="X211" s="296">
        <f>IF(AND(X$2&lt;Inputs!$Q$55,(X$2+$E$211)&gt;=Inputs!$Q$55),$E$139/MIN($E211,(Inputs!$Q$55-1)),IF(X$2=Inputs!$Q$55,-($E$139),0))</f>
        <v>0</v>
      </c>
      <c r="Y211" s="296">
        <f>IF(AND(Y$2&lt;Inputs!$Q$55,(Y$2+$E$211)&gt;=Inputs!$Q$55),$E$139/MIN($E211,(Inputs!$Q$55-1)),IF(Y$2=Inputs!$Q$55,-($E$139),0))</f>
        <v>0</v>
      </c>
      <c r="Z211" s="296">
        <f>IF(AND(Z$2&lt;Inputs!$Q$55,(Z$2+$E$211)&gt;=Inputs!$Q$55),$E$139/MIN($E211,(Inputs!$Q$55-1)),IF(Z$2=Inputs!$Q$55,-($E$139),0))</f>
        <v>0</v>
      </c>
      <c r="AA211" s="296">
        <f>IF(AND(AA$2&lt;Inputs!$Q$55,(AA$2+$E$211)&gt;=Inputs!$Q$55),$E$139/MIN($E211,(Inputs!$Q$55-1)),IF(AA$2=Inputs!$Q$55,-($E$139),0))</f>
        <v>0</v>
      </c>
      <c r="AB211" s="296">
        <f>IF(AND(AB$2&lt;Inputs!$Q$55,(AB$2+$E$211)&gt;=Inputs!$Q$55),$E$139/MIN($E211,(Inputs!$Q$55-1)),IF(AB$2=Inputs!$Q$55,-($E$139),0))</f>
        <v>0</v>
      </c>
      <c r="AC211" s="296">
        <f>IF(AND(AC$2&lt;Inputs!$Q$55,(AC$2+$E$211)&gt;=Inputs!$Q$55),$E$139/MIN($E211,(Inputs!$Q$55-1)),IF(AC$2=Inputs!$Q$55,-($E$139),0))</f>
        <v>0</v>
      </c>
      <c r="AD211" s="296">
        <f>IF(AND(AD$2&lt;Inputs!$Q$55,(AD$2+$E$211)&gt;=Inputs!$Q$55),$E$139/MIN($E211,(Inputs!$Q$55-1)),IF(AD$2=Inputs!$Q$55,-($E$139),0))</f>
        <v>0</v>
      </c>
      <c r="AE211" s="296">
        <f>IF(AND(AE$2&lt;Inputs!$Q$55,(AE$2+$E$211)&gt;=Inputs!$Q$55),$E$139/MIN($E211,(Inputs!$Q$55-1)),IF(AE$2=Inputs!$Q$55,-($E$139),0))</f>
        <v>0</v>
      </c>
      <c r="AF211" s="296">
        <f>IF(AND(AF$2&lt;Inputs!$Q$55,(AF$2+$E$211)&gt;=Inputs!$Q$55),$E$139/MIN($E211,(Inputs!$Q$55-1)),IF(AF$2=Inputs!$Q$55,-($E$139),0))</f>
        <v>0</v>
      </c>
      <c r="AG211" s="296">
        <f>IF(AND(AG$2&lt;Inputs!$Q$55,(AG$2+$E$211)&gt;=Inputs!$Q$55),$E$139/MIN($E211,(Inputs!$Q$55-1)),IF(AG$2=Inputs!$Q$55,-($E$139),0))</f>
        <v>0</v>
      </c>
      <c r="AH211" s="296">
        <f>IF(AND(AH$2&lt;Inputs!$Q$55,(AH$2+$E$211)&gt;=Inputs!$Q$55),$E$139/MIN($E211,(Inputs!$Q$55-1)),IF(AH$2=Inputs!$Q$55,-($E$139),0))</f>
        <v>0</v>
      </c>
      <c r="AI211" s="296">
        <f>IF(AND(AI$2&lt;Inputs!$Q$55,(AI$2+$E$211)&gt;=Inputs!$Q$55),$E$139/MIN($E211,(Inputs!$Q$55-1)),IF(AI$2=Inputs!$Q$55,-($E$139),0))</f>
        <v>0</v>
      </c>
      <c r="AJ211" s="296">
        <f>IF(AND(AJ$2&lt;Inputs!$Q$55,(AJ$2+$E$211)&gt;=Inputs!$Q$55),$E$139/MIN($E211,(Inputs!$Q$55-1)),IF(AJ$2=Inputs!$Q$55,-($E$139),0))</f>
        <v>0</v>
      </c>
    </row>
    <row r="212" spans="2:36" ht="16">
      <c r="B212" s="278" t="s">
        <v>358</v>
      </c>
      <c r="C212" s="278"/>
      <c r="D212" s="666" t="s">
        <v>361</v>
      </c>
      <c r="E212" s="667">
        <v>10</v>
      </c>
      <c r="F212" s="321">
        <v>0</v>
      </c>
      <c r="G212" s="296">
        <f>IF(AND(G$2&lt;Inputs!$Q$57,(G$2+$E$212)&gt;=Inputs!$Q$57),$E$142/MIN($E212,(Inputs!$Q$57-1)),IF(G$2=Inputs!$Q$57,-($E$142),0))</f>
        <v>0</v>
      </c>
      <c r="H212" s="296">
        <f>IF(AND(H$2&lt;Inputs!$Q$57,(H$2+$E$212)&gt;=Inputs!$Q$57),$E$142/MIN($E212,(Inputs!$Q$57-1)),IF(H$2=Inputs!$Q$57,-($E$142),0))</f>
        <v>0</v>
      </c>
      <c r="I212" s="296">
        <f>IF(AND(I$2&lt;Inputs!$Q$57,(I$2+$E$212)&gt;=Inputs!$Q$57),$E$142/MIN($E212,(Inputs!$Q$57-1)),IF(I$2=Inputs!$Q$57,-($E$142),0))</f>
        <v>0</v>
      </c>
      <c r="J212" s="296">
        <f>IF(AND(J$2&lt;Inputs!$Q$57,(J$2+$E$212)&gt;=Inputs!$Q$57),$E$142/MIN($E212,(Inputs!$Q$57-1)),IF(J$2=Inputs!$Q$57,-($E$142),0))</f>
        <v>0</v>
      </c>
      <c r="K212" s="296">
        <f>IF(AND(K$2&lt;Inputs!$Q$57,(K$2+$E$212)&gt;=Inputs!$Q$57),$E$142/MIN($E212,(Inputs!$Q$57-1)),IF(K$2=Inputs!$Q$57,-($E$142),0))</f>
        <v>0</v>
      </c>
      <c r="L212" s="296">
        <f>IF(AND(L$2&lt;Inputs!$Q$57,(L$2+$E$212)&gt;=Inputs!$Q$57),$E$142/MIN($E212,(Inputs!$Q$57-1)),IF(L$2=Inputs!$Q$57,-($E$142),0))</f>
        <v>0</v>
      </c>
      <c r="M212" s="296">
        <f>IF(AND(M$2&lt;Inputs!$Q$57,(M$2+$E$212)&gt;=Inputs!$Q$57),$E$142/MIN($E212,(Inputs!$Q$57-1)),IF(M$2=Inputs!$Q$57,-($E$142),0))</f>
        <v>0</v>
      </c>
      <c r="N212" s="296">
        <f>IF(AND(N$2&lt;Inputs!$Q$57,(N$2+$E$212)&gt;=Inputs!$Q$57),$E$142/MIN($E212,(Inputs!$Q$57-1)),IF(N$2=Inputs!$Q$57,-($E$142),0))</f>
        <v>0</v>
      </c>
      <c r="O212" s="296">
        <f>IF(AND(O$2&lt;Inputs!$Q$57,(O$2+$E$212)&gt;=Inputs!$Q$57),$E$142/MIN($E212,(Inputs!$Q$57-1)),IF(O$2=Inputs!$Q$57,-($E$142),0))</f>
        <v>0</v>
      </c>
      <c r="P212" s="296">
        <f>IF(AND(P$2&lt;Inputs!$Q$57,(P$2+$E$212)&gt;=Inputs!$Q$57),$E$142/MIN($E212,(Inputs!$Q$57-1)),IF(P$2=Inputs!$Q$57,-($E$142),0))</f>
        <v>0</v>
      </c>
      <c r="Q212" s="296">
        <f>IF(AND(Q$2&lt;Inputs!$Q$57,(Q$2+$E$212)&gt;=Inputs!$Q$57),$E$142/MIN($E212,(Inputs!$Q$57-1)),IF(Q$2=Inputs!$Q$57,-($E$142),0))</f>
        <v>0</v>
      </c>
      <c r="R212" s="296">
        <f>IF(AND(R$2&lt;Inputs!$Q$57,(R$2+$E$212)&gt;=Inputs!$Q$57),$E$142/MIN($E212,(Inputs!$Q$57-1)),IF(R$2=Inputs!$Q$57,-($E$142),0))</f>
        <v>0</v>
      </c>
      <c r="S212" s="296">
        <f>IF(AND(S$2&lt;Inputs!$Q$57,(S$2+$E$212)&gt;=Inputs!$Q$57),$E$142/MIN($E212,(Inputs!$Q$57-1)),IF(S$2=Inputs!$Q$57,-($E$142),0))</f>
        <v>0</v>
      </c>
      <c r="T212" s="296">
        <f>IF(AND(T$2&lt;Inputs!$Q$57,(T$2+$E$212)&gt;=Inputs!$Q$57),$E$142/MIN($E212,(Inputs!$Q$57-1)),IF(T$2=Inputs!$Q$57,-($E$142),0))</f>
        <v>0</v>
      </c>
      <c r="U212" s="296">
        <f>IF(AND(U$2&lt;Inputs!$Q$57,(U$2+$E$212)&gt;=Inputs!$Q$57),$E$142/MIN($E212,(Inputs!$Q$57-1)),IF(U$2=Inputs!$Q$57,-($E$142),0))</f>
        <v>0</v>
      </c>
      <c r="V212" s="296">
        <f>IF(AND(V$2&lt;Inputs!$Q$57,(V$2+$E$212)&gt;=Inputs!$Q$57),$E$142/MIN($E212,(Inputs!$Q$57-1)),IF(V$2=Inputs!$Q$57,-($E$142),0))</f>
        <v>0</v>
      </c>
      <c r="W212" s="296">
        <f>IF(AND(W$2&lt;Inputs!$Q$57,(W$2+$E$212)&gt;=Inputs!$Q$57),$E$142/MIN($E212,(Inputs!$Q$57-1)),IF(W$2=Inputs!$Q$57,-($E$142),0))</f>
        <v>0</v>
      </c>
      <c r="X212" s="296">
        <f>IF(AND(X$2&lt;Inputs!$Q$57,(X$2+$E$212)&gt;=Inputs!$Q$57),$E$142/MIN($E212,(Inputs!$Q$57-1)),IF(X$2=Inputs!$Q$57,-($E$142),0))</f>
        <v>0</v>
      </c>
      <c r="Y212" s="296">
        <f>IF(AND(Y$2&lt;Inputs!$Q$57,(Y$2+$E$212)&gt;=Inputs!$Q$57),$E$142/MIN($E212,(Inputs!$Q$57-1)),IF(Y$2=Inputs!$Q$57,-($E$142),0))</f>
        <v>0</v>
      </c>
      <c r="Z212" s="296">
        <f>IF(AND(Z$2&lt;Inputs!$Q$57,(Z$2+$E$212)&gt;=Inputs!$Q$57),$E$142/MIN($E212,(Inputs!$Q$57-1)),IF(Z$2=Inputs!$Q$57,-($E$142),0))</f>
        <v>0</v>
      </c>
      <c r="AA212" s="296">
        <f>IF(AND(AA$2&lt;Inputs!$Q$57,(AA$2+$E$212)&gt;=Inputs!$Q$57),$E$142/MIN($E212,(Inputs!$Q$57-1)),IF(AA$2=Inputs!$Q$57,-($E$142),0))</f>
        <v>0</v>
      </c>
      <c r="AB212" s="296">
        <f>IF(AND(AB$2&lt;Inputs!$Q$57,(AB$2+$E$212)&gt;=Inputs!$Q$57),$E$142/MIN($E212,(Inputs!$Q$57-1)),IF(AB$2=Inputs!$Q$57,-($E$142),0))</f>
        <v>0</v>
      </c>
      <c r="AC212" s="296">
        <f>IF(AND(AC$2&lt;Inputs!$Q$57,(AC$2+$E$212)&gt;=Inputs!$Q$57),$E$142/MIN($E212,(Inputs!$Q$57-1)),IF(AC$2=Inputs!$Q$57,-($E$142),0))</f>
        <v>0</v>
      </c>
      <c r="AD212" s="296">
        <f>IF(AND(AD$2&lt;Inputs!$Q$57,(AD$2+$E$212)&gt;=Inputs!$Q$57),$E$142/MIN($E212,(Inputs!$Q$57-1)),IF(AD$2=Inputs!$Q$57,-($E$142),0))</f>
        <v>0</v>
      </c>
      <c r="AE212" s="296">
        <f>IF(AND(AE$2&lt;Inputs!$Q$57,(AE$2+$E$212)&gt;=Inputs!$Q$57),$E$142/MIN($E212,(Inputs!$Q$57-1)),IF(AE$2=Inputs!$Q$57,-($E$142),0))</f>
        <v>0</v>
      </c>
      <c r="AF212" s="296">
        <f>IF(AND(AF$2&lt;Inputs!$Q$57,(AF$2+$E$212)&gt;=Inputs!$Q$57),$E$142/MIN($E212,(Inputs!$Q$57-1)),IF(AF$2=Inputs!$Q$57,-($E$142),0))</f>
        <v>0</v>
      </c>
      <c r="AG212" s="296">
        <f>IF(AND(AG$2&lt;Inputs!$Q$57,(AG$2+$E$212)&gt;=Inputs!$Q$57),$E$142/MIN($E212,(Inputs!$Q$57-1)),IF(AG$2=Inputs!$Q$57,-($E$142),0))</f>
        <v>0</v>
      </c>
      <c r="AH212" s="296">
        <f>IF(AND(AH$2&lt;Inputs!$Q$57,(AH$2+$E$212)&gt;=Inputs!$Q$57),$E$142/MIN($E212,(Inputs!$Q$57-1)),IF(AH$2=Inputs!$Q$57,-($E$142),0))</f>
        <v>0</v>
      </c>
      <c r="AI212" s="296">
        <f>IF(AND(AI$2&lt;Inputs!$Q$57,(AI$2+$E$212)&gt;=Inputs!$Q$57),$E$142/MIN($E212,(Inputs!$Q$57-1)),IF(AI$2=Inputs!$Q$57,-($E$142),0))</f>
        <v>0</v>
      </c>
      <c r="AJ212" s="296">
        <f>IF(AND(AJ$2&lt;Inputs!$Q$57,(AJ$2+$E$212)&gt;=Inputs!$Q$57),$E$142/MIN($E212,(Inputs!$Q$57-1)),IF(AJ$2=Inputs!$Q$57,-($E$142),0))</f>
        <v>0</v>
      </c>
    </row>
    <row r="213" spans="2:36" ht="16">
      <c r="B213" s="278" t="s">
        <v>359</v>
      </c>
      <c r="C213" s="278"/>
      <c r="D213" s="666" t="s">
        <v>361</v>
      </c>
      <c r="E213" s="667">
        <v>10</v>
      </c>
      <c r="F213" s="321">
        <v>0</v>
      </c>
      <c r="G213" s="296">
        <f>IF(AND(G$2&lt;Inputs!$Q$59,(G$2+$E$213)&gt;=Inputs!$Q$59),$E$145/MIN($E213,(Inputs!$Q$59-1)),IF(G$2=Inputs!$Q$59,-($E$145),0))</f>
        <v>0</v>
      </c>
      <c r="H213" s="296">
        <f>IF(AND(H$2&lt;Inputs!$Q$59,(H$2+$E$213)&gt;=Inputs!$Q$59),$E$145/MIN($E213,(Inputs!$Q$59-1)),IF(H$2=Inputs!$Q$59,-($E$145),0))</f>
        <v>0</v>
      </c>
      <c r="I213" s="296">
        <f>IF(AND(I$2&lt;Inputs!$Q$59,(I$2+$E$213)&gt;=Inputs!$Q$59),$E$145/MIN($E213,(Inputs!$Q$59-1)),IF(I$2=Inputs!$Q$59,-($E$145),0))</f>
        <v>0</v>
      </c>
      <c r="J213" s="296">
        <f>IF(AND(J$2&lt;Inputs!$Q$59,(J$2+$E$213)&gt;=Inputs!$Q$59),$E$145/MIN($E213,(Inputs!$Q$59-1)),IF(J$2=Inputs!$Q$59,-($E$145),0))</f>
        <v>0</v>
      </c>
      <c r="K213" s="296">
        <f>IF(AND(K$2&lt;Inputs!$Q$59,(K$2+$E$213)&gt;=Inputs!$Q$59),$E$145/MIN($E213,(Inputs!$Q$59-1)),IF(K$2=Inputs!$Q$59,-($E$145),0))</f>
        <v>0</v>
      </c>
      <c r="L213" s="296">
        <f>IF(AND(L$2&lt;Inputs!$Q$59,(L$2+$E$213)&gt;=Inputs!$Q$59),$E$145/MIN($E213,(Inputs!$Q$59-1)),IF(L$2=Inputs!$Q$59,-($E$145),0))</f>
        <v>0</v>
      </c>
      <c r="M213" s="296">
        <f>IF(AND(M$2&lt;Inputs!$Q$59,(M$2+$E$213)&gt;=Inputs!$Q$59),$E$145/MIN($E213,(Inputs!$Q$59-1)),IF(M$2=Inputs!$Q$59,-($E$145),0))</f>
        <v>0</v>
      </c>
      <c r="N213" s="296">
        <f>IF(AND(N$2&lt;Inputs!$Q$59,(N$2+$E$213)&gt;=Inputs!$Q$59),$E$145/MIN($E213,(Inputs!$Q$59-1)),IF(N$2=Inputs!$Q$59,-($E$145),0))</f>
        <v>0</v>
      </c>
      <c r="O213" s="296">
        <f>IF(AND(O$2&lt;Inputs!$Q$59,(O$2+$E$213)&gt;=Inputs!$Q$59),$E$145/MIN($E213,(Inputs!$Q$59-1)),IF(O$2=Inputs!$Q$59,-($E$145),0))</f>
        <v>0</v>
      </c>
      <c r="P213" s="296">
        <f>IF(AND(P$2&lt;Inputs!$Q$59,(P$2+$E$213)&gt;=Inputs!$Q$59),$E$145/MIN($E213,(Inputs!$Q$59-1)),IF(P$2=Inputs!$Q$59,-($E$145),0))</f>
        <v>0</v>
      </c>
      <c r="Q213" s="296">
        <f>IF(AND(Q$2&lt;Inputs!$Q$59,(Q$2+$E$213)&gt;=Inputs!$Q$59),$E$145/MIN($E213,(Inputs!$Q$59-1)),IF(Q$2=Inputs!$Q$59,-($E$145),0))</f>
        <v>0</v>
      </c>
      <c r="R213" s="296">
        <f>IF(AND(R$2&lt;Inputs!$Q$59,(R$2+$E$213)&gt;=Inputs!$Q$59),$E$145/MIN($E213,(Inputs!$Q$59-1)),IF(R$2=Inputs!$Q$59,-($E$145),0))</f>
        <v>0</v>
      </c>
      <c r="S213" s="296">
        <f>IF(AND(S$2&lt;Inputs!$Q$59,(S$2+$E$213)&gt;=Inputs!$Q$59),$E$145/MIN($E213,(Inputs!$Q$59-1)),IF(S$2=Inputs!$Q$59,-($E$145),0))</f>
        <v>0</v>
      </c>
      <c r="T213" s="296">
        <f>IF(AND(T$2&lt;Inputs!$Q$59,(T$2+$E$213)&gt;=Inputs!$Q$59),$E$145/MIN($E213,(Inputs!$Q$59-1)),IF(T$2=Inputs!$Q$59,-($E$145),0))</f>
        <v>0</v>
      </c>
      <c r="U213" s="296">
        <f>IF(AND(U$2&lt;Inputs!$Q$59,(U$2+$E$213)&gt;=Inputs!$Q$59),$E$145/MIN($E213,(Inputs!$Q$59-1)),IF(U$2=Inputs!$Q$59,-($E$145),0))</f>
        <v>0</v>
      </c>
      <c r="V213" s="296">
        <f>IF(AND(V$2&lt;Inputs!$Q$59,(V$2+$E$213)&gt;=Inputs!$Q$59),$E$145/MIN($E213,(Inputs!$Q$59-1)),IF(V$2=Inputs!$Q$59,-($E$145),0))</f>
        <v>0</v>
      </c>
      <c r="W213" s="296">
        <f>IF(AND(W$2&lt;Inputs!$Q$59,(W$2+$E$213)&gt;=Inputs!$Q$59),$E$145/MIN($E213,(Inputs!$Q$59-1)),IF(W$2=Inputs!$Q$59,-($E$145),0))</f>
        <v>0</v>
      </c>
      <c r="X213" s="296">
        <f>IF(AND(X$2&lt;Inputs!$Q$59,(X$2+$E$213)&gt;=Inputs!$Q$59),$E$145/MIN($E213,(Inputs!$Q$59-1)),IF(X$2=Inputs!$Q$59,-($E$145),0))</f>
        <v>0</v>
      </c>
      <c r="Y213" s="296">
        <f>IF(AND(Y$2&lt;Inputs!$Q$59,(Y$2+$E$213)&gt;=Inputs!$Q$59),$E$145/MIN($E213,(Inputs!$Q$59-1)),IF(Y$2=Inputs!$Q$59,-($E$145),0))</f>
        <v>0</v>
      </c>
      <c r="Z213" s="296">
        <f>IF(AND(Z$2&lt;Inputs!$Q$59,(Z$2+$E$213)&gt;=Inputs!$Q$59),$E$145/MIN($E213,(Inputs!$Q$59-1)),IF(Z$2=Inputs!$Q$59,-($E$145),0))</f>
        <v>0</v>
      </c>
      <c r="AA213" s="296">
        <f>IF(AND(AA$2&lt;Inputs!$Q$59,(AA$2+$E$213)&gt;=Inputs!$Q$59),$E$145/MIN($E213,(Inputs!$Q$59-1)),IF(AA$2=Inputs!$Q$59,-($E$145),0))</f>
        <v>0</v>
      </c>
      <c r="AB213" s="296">
        <f>IF(AND(AB$2&lt;Inputs!$Q$59,(AB$2+$E$213)&gt;=Inputs!$Q$59),$E$145/MIN($E213,(Inputs!$Q$59-1)),IF(AB$2=Inputs!$Q$59,-($E$145),0))</f>
        <v>0</v>
      </c>
      <c r="AC213" s="296">
        <f>IF(AND(AC$2&lt;Inputs!$Q$59,(AC$2+$E$213)&gt;=Inputs!$Q$59),$E$145/MIN($E213,(Inputs!$Q$59-1)),IF(AC$2=Inputs!$Q$59,-($E$145),0))</f>
        <v>0</v>
      </c>
      <c r="AD213" s="296">
        <f>IF(AND(AD$2&lt;Inputs!$Q$59,(AD$2+$E$213)&gt;=Inputs!$Q$59),$E$145/MIN($E213,(Inputs!$Q$59-1)),IF(AD$2=Inputs!$Q$59,-($E$145),0))</f>
        <v>0</v>
      </c>
      <c r="AE213" s="296">
        <f>IF(AND(AE$2&lt;Inputs!$Q$59,(AE$2+$E$213)&gt;=Inputs!$Q$59),$E$145/MIN($E213,(Inputs!$Q$59-1)),IF(AE$2=Inputs!$Q$59,-($E$145),0))</f>
        <v>0</v>
      </c>
      <c r="AF213" s="296">
        <f>IF(AND(AF$2&lt;Inputs!$Q$59,(AF$2+$E$213)&gt;=Inputs!$Q$59),$E$145/MIN($E213,(Inputs!$Q$59-1)),IF(AF$2=Inputs!$Q$59,-($E$145),0))</f>
        <v>0</v>
      </c>
      <c r="AG213" s="296">
        <f>IF(AND(AG$2&lt;Inputs!$Q$59,(AG$2+$E$213)&gt;=Inputs!$Q$59),$E$145/MIN($E213,(Inputs!$Q$59-1)),IF(AG$2=Inputs!$Q$59,-($E$145),0))</f>
        <v>0</v>
      </c>
      <c r="AH213" s="296">
        <f>IF(AND(AH$2&lt;Inputs!$Q$59,(AH$2+$E$213)&gt;=Inputs!$Q$59),$E$145/MIN($E213,(Inputs!$Q$59-1)),IF(AH$2=Inputs!$Q$59,-($E$145),0))</f>
        <v>0</v>
      </c>
      <c r="AI213" s="296">
        <f>IF(AND(AI$2&lt;Inputs!$Q$59,(AI$2+$E$213)&gt;=Inputs!$Q$59),$E$145/MIN($E213,(Inputs!$Q$59-1)),IF(AI$2=Inputs!$Q$59,-($E$145),0))</f>
        <v>0</v>
      </c>
      <c r="AJ213" s="296">
        <f>IF(AND(AJ$2&lt;Inputs!$Q$59,(AJ$2+$E$213)&gt;=Inputs!$Q$59),$E$145/MIN($E213,(Inputs!$Q$59-1)),IF(AJ$2=Inputs!$Q$59,-($E$145),0))</f>
        <v>0</v>
      </c>
    </row>
    <row r="214" spans="2:36" ht="16">
      <c r="B214" s="278" t="s">
        <v>360</v>
      </c>
      <c r="C214" s="278"/>
      <c r="D214" s="666" t="s">
        <v>361</v>
      </c>
      <c r="E214" s="667">
        <v>10</v>
      </c>
      <c r="F214" s="321">
        <v>0</v>
      </c>
      <c r="G214" s="296">
        <f>IF(AND(G$2&lt;Inputs!$Q$61,(G$2+$E$214)&gt;=Inputs!$Q$61),$E$148/MIN($E214,(Inputs!$Q$61-1)),IF(G$2=Inputs!$Q$61,-($E$148),0))</f>
        <v>0</v>
      </c>
      <c r="H214" s="296">
        <f>IF(AND(H$2&lt;Inputs!$Q$61,(H$2+$E$214)&gt;=Inputs!$Q$61),$E$148/MIN($E214,(Inputs!$Q$61-1)),IF(H$2=Inputs!$Q$61,-($E$148),0))</f>
        <v>0</v>
      </c>
      <c r="I214" s="296">
        <f>IF(AND(I$2&lt;Inputs!$Q$61,(I$2+$E$214)&gt;=Inputs!$Q$61),$E$148/MIN($E214,(Inputs!$Q$61-1)),IF(I$2=Inputs!$Q$61,-($E$148),0))</f>
        <v>0</v>
      </c>
      <c r="J214" s="296">
        <f>IF(AND(J$2&lt;Inputs!$Q$61,(J$2+$E$214)&gt;=Inputs!$Q$61),$E$148/MIN($E214,(Inputs!$Q$61-1)),IF(J$2=Inputs!$Q$61,-($E$148),0))</f>
        <v>0</v>
      </c>
      <c r="K214" s="296">
        <f>IF(AND(K$2&lt;Inputs!$Q$61,(K$2+$E$214)&gt;=Inputs!$Q$61),$E$148/MIN($E214,(Inputs!$Q$61-1)),IF(K$2=Inputs!$Q$61,-($E$148),0))</f>
        <v>0</v>
      </c>
      <c r="L214" s="296">
        <f>IF(AND(L$2&lt;Inputs!$Q$61,(L$2+$E$214)&gt;=Inputs!$Q$61),$E$148/MIN($E214,(Inputs!$Q$61-1)),IF(L$2=Inputs!$Q$61,-($E$148),0))</f>
        <v>0</v>
      </c>
      <c r="M214" s="296">
        <f>IF(AND(M$2&lt;Inputs!$Q$61,(M$2+$E$214)&gt;=Inputs!$Q$61),$E$148/MIN($E214,(Inputs!$Q$61-1)),IF(M$2=Inputs!$Q$61,-($E$148),0))</f>
        <v>0</v>
      </c>
      <c r="N214" s="296">
        <f>IF(AND(N$2&lt;Inputs!$Q$61,(N$2+$E$214)&gt;=Inputs!$Q$61),$E$148/MIN($E214,(Inputs!$Q$61-1)),IF(N$2=Inputs!$Q$61,-($E$148),0))</f>
        <v>0</v>
      </c>
      <c r="O214" s="296">
        <f>IF(AND(O$2&lt;Inputs!$Q$61,(O$2+$E$214)&gt;=Inputs!$Q$61),$E$148/MIN($E214,(Inputs!$Q$61-1)),IF(O$2=Inputs!$Q$61,-($E$148),0))</f>
        <v>0</v>
      </c>
      <c r="P214" s="296">
        <f>IF(AND(P$2&lt;Inputs!$Q$61,(P$2+$E$214)&gt;=Inputs!$Q$61),$E$148/MIN($E214,(Inputs!$Q$61-1)),IF(P$2=Inputs!$Q$61,-($E$148),0))</f>
        <v>0</v>
      </c>
      <c r="Q214" s="296">
        <f>IF(AND(Q$2&lt;Inputs!$Q$61,(Q$2+$E$214)&gt;=Inputs!$Q$61),$E$148/MIN($E214,(Inputs!$Q$61-1)),IF(Q$2=Inputs!$Q$61,-($E$148),0))</f>
        <v>0</v>
      </c>
      <c r="R214" s="296">
        <f>IF(AND(R$2&lt;Inputs!$Q$61,(R$2+$E$214)&gt;=Inputs!$Q$61),$E$148/MIN($E214,(Inputs!$Q$61-1)),IF(R$2=Inputs!$Q$61,-($E$148),0))</f>
        <v>0</v>
      </c>
      <c r="S214" s="296">
        <f>IF(AND(S$2&lt;Inputs!$Q$61,(S$2+$E$214)&gt;=Inputs!$Q$61),$E$148/MIN($E214,(Inputs!$Q$61-1)),IF(S$2=Inputs!$Q$61,-($E$148),0))</f>
        <v>0</v>
      </c>
      <c r="T214" s="296">
        <f>IF(AND(T$2&lt;Inputs!$Q$61,(T$2+$E$214)&gt;=Inputs!$Q$61),$E$148/MIN($E214,(Inputs!$Q$61-1)),IF(T$2=Inputs!$Q$61,-($E$148),0))</f>
        <v>0</v>
      </c>
      <c r="U214" s="296">
        <f>IF(AND(U$2&lt;Inputs!$Q$61,(U$2+$E$214)&gt;=Inputs!$Q$61),$E$148/MIN($E214,(Inputs!$Q$61-1)),IF(U$2=Inputs!$Q$61,-($E$148),0))</f>
        <v>0</v>
      </c>
      <c r="V214" s="296">
        <f>IF(AND(V$2&lt;Inputs!$Q$61,(V$2+$E$214)&gt;=Inputs!$Q$61),$E$148/MIN($E214,(Inputs!$Q$61-1)),IF(V$2=Inputs!$Q$61,-($E$148),0))</f>
        <v>0</v>
      </c>
      <c r="W214" s="296">
        <f>IF(AND(W$2&lt;Inputs!$Q$61,(W$2+$E$214)&gt;=Inputs!$Q$61),$E$148/MIN($E214,(Inputs!$Q$61-1)),IF(W$2=Inputs!$Q$61,-($E$148),0))</f>
        <v>0</v>
      </c>
      <c r="X214" s="296">
        <f>IF(AND(X$2&lt;Inputs!$Q$61,(X$2+$E$214)&gt;=Inputs!$Q$61),$E$148/MIN($E214,(Inputs!$Q$61-1)),IF(X$2=Inputs!$Q$61,-($E$148),0))</f>
        <v>0</v>
      </c>
      <c r="Y214" s="296">
        <f>IF(AND(Y$2&lt;Inputs!$Q$61,(Y$2+$E$214)&gt;=Inputs!$Q$61),$E$148/MIN($E214,(Inputs!$Q$61-1)),IF(Y$2=Inputs!$Q$61,-($E$148),0))</f>
        <v>0</v>
      </c>
      <c r="Z214" s="296">
        <f>IF(AND(Z$2&lt;Inputs!$Q$61,(Z$2+$E$214)&gt;=Inputs!$Q$61),$E$148/MIN($E214,(Inputs!$Q$61-1)),IF(Z$2=Inputs!$Q$61,-($E$148),0))</f>
        <v>0</v>
      </c>
      <c r="AA214" s="296">
        <f>IF(AND(AA$2&lt;Inputs!$Q$61,(AA$2+$E$214)&gt;=Inputs!$Q$61),$E$148/MIN($E214,(Inputs!$Q$61-1)),IF(AA$2=Inputs!$Q$61,-($E$148),0))</f>
        <v>0</v>
      </c>
      <c r="AB214" s="296">
        <f>IF(AND(AB$2&lt;Inputs!$Q$61,(AB$2+$E$214)&gt;=Inputs!$Q$61),$E$148/MIN($E214,(Inputs!$Q$61-1)),IF(AB$2=Inputs!$Q$61,-($E$148),0))</f>
        <v>0</v>
      </c>
      <c r="AC214" s="296">
        <f>IF(AND(AC$2&lt;Inputs!$Q$61,(AC$2+$E$214)&gt;=Inputs!$Q$61),$E$148/MIN($E214,(Inputs!$Q$61-1)),IF(AC$2=Inputs!$Q$61,-($E$148),0))</f>
        <v>0</v>
      </c>
      <c r="AD214" s="296">
        <f>IF(AND(AD$2&lt;Inputs!$Q$61,(AD$2+$E$214)&gt;=Inputs!$Q$61),$E$148/MIN($E214,(Inputs!$Q$61-1)),IF(AD$2=Inputs!$Q$61,-($E$148),0))</f>
        <v>0</v>
      </c>
      <c r="AE214" s="296">
        <f>IF(AND(AE$2&lt;Inputs!$Q$61,(AE$2+$E$214)&gt;=Inputs!$Q$61),$E$148/MIN($E214,(Inputs!$Q$61-1)),IF(AE$2=Inputs!$Q$61,-($E$148),0))</f>
        <v>0</v>
      </c>
      <c r="AF214" s="296">
        <f>IF(AND(AF$2&lt;Inputs!$Q$61,(AF$2+$E$214)&gt;=Inputs!$Q$61),$E$148/MIN($E214,(Inputs!$Q$61-1)),IF(AF$2=Inputs!$Q$61,-($E$148),0))</f>
        <v>0</v>
      </c>
      <c r="AG214" s="296">
        <f>IF(AND(AG$2&lt;Inputs!$Q$61,(AG$2+$E$214)&gt;=Inputs!$Q$61),$E$148/MIN($E214,(Inputs!$Q$61-1)),IF(AG$2=Inputs!$Q$61,-($E$148),0))</f>
        <v>0</v>
      </c>
      <c r="AH214" s="296">
        <f>IF(AND(AH$2&lt;Inputs!$Q$61,(AH$2+$E$214)&gt;=Inputs!$Q$61),$E$148/MIN($E214,(Inputs!$Q$61-1)),IF(AH$2=Inputs!$Q$61,-($E$148),0))</f>
        <v>0</v>
      </c>
      <c r="AI214" s="296">
        <f>IF(AND(AI$2&lt;Inputs!$Q$61,(AI$2+$E$214)&gt;=Inputs!$Q$61),$E$148/MIN($E214,(Inputs!$Q$61-1)),IF(AI$2=Inputs!$Q$61,-($E$148),0))</f>
        <v>0</v>
      </c>
      <c r="AJ214" s="296">
        <f>IF(AND(AJ$2&lt;Inputs!$Q$61,(AJ$2+$E$214)&gt;=Inputs!$Q$61),$E$148/MIN($E214,(Inputs!$Q$61-1)),IF(AJ$2=Inputs!$Q$61,-($E$148),0))</f>
        <v>0</v>
      </c>
    </row>
    <row r="215" spans="2:36" ht="16">
      <c r="B215" s="278" t="s">
        <v>43</v>
      </c>
      <c r="C215" s="278"/>
      <c r="D215" s="278"/>
      <c r="E215" s="303"/>
      <c r="F215" s="321">
        <v>0</v>
      </c>
      <c r="G215" s="296">
        <f>IF(OR(G$2&gt;Inputs!$G$19,Inputs!$Q$67="salvage"),0,Inputs!$Q$68/Inputs!$Q$13)</f>
        <v>0</v>
      </c>
      <c r="H215" s="296">
        <f>IF(OR(H$2&gt;Inputs!$G$19,Inputs!$Q$67="salvage"),0,Inputs!$Q$68/Inputs!$Q$13)</f>
        <v>0</v>
      </c>
      <c r="I215" s="296">
        <f>IF(OR(I$2&gt;Inputs!$G$19,Inputs!$Q$67="salvage"),0,Inputs!$Q$68/Inputs!$Q$13)</f>
        <v>0</v>
      </c>
      <c r="J215" s="296">
        <f>IF(OR(J$2&gt;Inputs!$G$19,Inputs!$Q$67="salvage"),0,Inputs!$Q$68/Inputs!$Q$13)</f>
        <v>0</v>
      </c>
      <c r="K215" s="296">
        <f>IF(OR(K$2&gt;Inputs!$G$19,Inputs!$Q$67="salvage"),0,Inputs!$Q$68/Inputs!$Q$13)</f>
        <v>0</v>
      </c>
      <c r="L215" s="296">
        <f>IF(OR(L$2&gt;Inputs!$G$19,Inputs!$Q$67="salvage"),0,Inputs!$Q$68/Inputs!$Q$13)</f>
        <v>0</v>
      </c>
      <c r="M215" s="296">
        <f>IF(OR(M$2&gt;Inputs!$G$19,Inputs!$Q$67="salvage"),0,Inputs!$Q$68/Inputs!$Q$13)</f>
        <v>0</v>
      </c>
      <c r="N215" s="296">
        <f>IF(OR(N$2&gt;Inputs!$G$19,Inputs!$Q$67="salvage"),0,Inputs!$Q$68/Inputs!$Q$13)</f>
        <v>0</v>
      </c>
      <c r="O215" s="296">
        <f>IF(OR(O$2&gt;Inputs!$G$19,Inputs!$Q$67="salvage"),0,Inputs!$Q$68/Inputs!$Q$13)</f>
        <v>0</v>
      </c>
      <c r="P215" s="296">
        <f>IF(OR(P$2&gt;Inputs!$G$19,Inputs!$Q$67="salvage"),0,Inputs!$Q$68/Inputs!$Q$13)</f>
        <v>0</v>
      </c>
      <c r="Q215" s="296">
        <f>IF(OR(Q$2&gt;Inputs!$G$19,Inputs!$Q$67="salvage"),0,Inputs!$Q$68/Inputs!$Q$13)</f>
        <v>0</v>
      </c>
      <c r="R215" s="296">
        <f>IF(OR(R$2&gt;Inputs!$G$19,Inputs!$Q$67="salvage"),0,Inputs!$Q$68/Inputs!$Q$13)</f>
        <v>0</v>
      </c>
      <c r="S215" s="296">
        <f>IF(OR(S$2&gt;Inputs!$G$19,Inputs!$Q$67="salvage"),0,Inputs!$Q$68/Inputs!$Q$13)</f>
        <v>0</v>
      </c>
      <c r="T215" s="296">
        <f>IF(OR(T$2&gt;Inputs!$G$19,Inputs!$Q$67="salvage"),0,Inputs!$Q$68/Inputs!$Q$13)</f>
        <v>0</v>
      </c>
      <c r="U215" s="296">
        <f>IF(OR(U$2&gt;Inputs!$G$19,Inputs!$Q$67="salvage"),0,Inputs!$Q$68/Inputs!$Q$13)</f>
        <v>0</v>
      </c>
      <c r="V215" s="296">
        <f>IF(OR(V$2&gt;Inputs!$G$19,Inputs!$Q$67="salvage"),0,Inputs!$Q$68/Inputs!$Q$13)</f>
        <v>0</v>
      </c>
      <c r="W215" s="296">
        <f>IF(OR(W$2&gt;Inputs!$G$19,Inputs!$Q$67="salvage"),0,Inputs!$Q$68/Inputs!$Q$13)</f>
        <v>0</v>
      </c>
      <c r="X215" s="296">
        <f>IF(OR(X$2&gt;Inputs!$G$19,Inputs!$Q$67="salvage"),0,Inputs!$Q$68/Inputs!$Q$13)</f>
        <v>0</v>
      </c>
      <c r="Y215" s="296">
        <f>IF(OR(Y$2&gt;Inputs!$G$19,Inputs!$Q$67="salvage"),0,Inputs!$Q$68/Inputs!$Q$13)</f>
        <v>0</v>
      </c>
      <c r="Z215" s="296">
        <f>IF(OR(Z$2&gt;Inputs!$G$19,Inputs!$Q$67="salvage"),0,Inputs!$Q$68/Inputs!$Q$13)</f>
        <v>0</v>
      </c>
      <c r="AA215" s="296">
        <f>IF(OR(AA$2&gt;Inputs!$G$19,Inputs!$Q$67="salvage"),0,Inputs!$Q$68/Inputs!$Q$13)</f>
        <v>0</v>
      </c>
      <c r="AB215" s="296">
        <f>IF(OR(AB$2&gt;Inputs!$G$19,Inputs!$Q$67="salvage"),0,Inputs!$Q$68/Inputs!$Q$13)</f>
        <v>0</v>
      </c>
      <c r="AC215" s="296">
        <f>IF(OR(AC$2&gt;Inputs!$G$19,Inputs!$Q$67="salvage"),0,Inputs!$Q$68/Inputs!$Q$13)</f>
        <v>0</v>
      </c>
      <c r="AD215" s="296">
        <f>IF(OR(AD$2&gt;Inputs!$G$19,Inputs!$Q$67="salvage"),0,Inputs!$Q$68/Inputs!$Q$13)</f>
        <v>0</v>
      </c>
      <c r="AE215" s="296">
        <f>IF(OR(AE$2&gt;Inputs!$G$19,Inputs!$Q$67="salvage"),0,Inputs!$Q$68/Inputs!$Q$13)</f>
        <v>0</v>
      </c>
      <c r="AF215" s="296">
        <f>IF(OR(AF$2&gt;Inputs!$G$19,Inputs!$Q$67="salvage"),0,Inputs!$Q$68/Inputs!$Q$13)</f>
        <v>0</v>
      </c>
      <c r="AG215" s="296">
        <f>IF(OR(AG$2&gt;Inputs!$G$19,Inputs!$Q$67="salvage"),0,Inputs!$Q$68/Inputs!$Q$13)</f>
        <v>0</v>
      </c>
      <c r="AH215" s="296">
        <f>IF(OR(AH$2&gt;Inputs!$G$19,Inputs!$Q$67="salvage"),0,Inputs!$Q$68/Inputs!$Q$13)</f>
        <v>0</v>
      </c>
      <c r="AI215" s="296">
        <f>IF(OR(AI$2&gt;Inputs!$G$19,Inputs!$Q$67="salvage"),0,Inputs!$Q$68/Inputs!$Q$13)</f>
        <v>0</v>
      </c>
      <c r="AJ215" s="296">
        <f>IF(OR(AJ$2&gt;Inputs!$G$19,Inputs!$Q$67="salvage"),0,Inputs!$Q$68/Inputs!$Q$13)</f>
        <v>0</v>
      </c>
    </row>
    <row r="216" spans="2:36" ht="16">
      <c r="B216" s="259" t="s">
        <v>87</v>
      </c>
      <c r="C216" s="259"/>
      <c r="D216" s="259"/>
      <c r="E216" s="303"/>
      <c r="F216" s="296">
        <f>IF(F$2&gt;Inputs!$G$19,0,SUM(F208:F215))</f>
        <v>1478954.9482940962</v>
      </c>
      <c r="G216" s="296">
        <f>IF(G$2&gt;Inputs!$G$19,0,SUM(G208:G215))</f>
        <v>1478954.9482940962</v>
      </c>
      <c r="H216" s="296">
        <f>IF(H$2&gt;Inputs!$G$19,0,SUM(H208:H215))</f>
        <v>1478954.9482940962</v>
      </c>
      <c r="I216" s="296">
        <f>IF(I$2&gt;Inputs!$G$19,0,SUM(I208:I215))</f>
        <v>1478954.9482940962</v>
      </c>
      <c r="J216" s="296">
        <f>IF(J$2&gt;Inputs!$G$19,0,SUM(J208:J215))</f>
        <v>1478954.9482940962</v>
      </c>
      <c r="K216" s="296">
        <f>IF(K$2&gt;Inputs!$G$19,0,SUM(K208:K215))</f>
        <v>1478954.9482940962</v>
      </c>
      <c r="L216" s="296">
        <f>IF(L$2&gt;Inputs!$G$19,0,SUM(L208:L215))</f>
        <v>1478954.9482940962</v>
      </c>
      <c r="M216" s="296">
        <f>IF(M$2&gt;Inputs!$G$19,0,SUM(M208:M215))</f>
        <v>1478954.9482940962</v>
      </c>
      <c r="N216" s="296">
        <f>IF(N$2&gt;Inputs!$G$19,0,SUM(N208:N215))</f>
        <v>1478954.9482940962</v>
      </c>
      <c r="O216" s="296">
        <f>IF(O$2&gt;Inputs!$G$19,0,SUM(O208:O215))</f>
        <v>1478954.9482940962</v>
      </c>
      <c r="P216" s="296">
        <f>IF(P$2&gt;Inputs!$G$19,0,SUM(P208:P215))</f>
        <v>1478954.9482940962</v>
      </c>
      <c r="Q216" s="296">
        <f>IF(Q$2&gt;Inputs!$G$19,0,SUM(Q208:Q215))</f>
        <v>1478954.9482940962</v>
      </c>
      <c r="R216" s="296">
        <f>IF(R$2&gt;Inputs!$G$19,0,SUM(R208:R215))</f>
        <v>1478954.9482940962</v>
      </c>
      <c r="S216" s="296">
        <f>IF(S$2&gt;Inputs!$G$19,0,SUM(S208:S215))</f>
        <v>1478954.9482940962</v>
      </c>
      <c r="T216" s="296">
        <f>IF(T$2&gt;Inputs!$G$19,0,SUM(T208:T215))</f>
        <v>1064065.6323816241</v>
      </c>
      <c r="U216" s="296">
        <f>IF(U$2&gt;Inputs!$G$19,0,SUM(U208:U215))</f>
        <v>1064065.6323816241</v>
      </c>
      <c r="V216" s="296">
        <f>IF(V$2&gt;Inputs!$G$19,0,SUM(V208:V215))</f>
        <v>1064065.6323816241</v>
      </c>
      <c r="W216" s="296">
        <f>IF(W$2&gt;Inputs!$G$19,0,SUM(W208:W215))</f>
        <v>1064065.6323816241</v>
      </c>
      <c r="X216" s="296">
        <f>IF(X$2&gt;Inputs!$G$19,0,SUM(X208:X215))</f>
        <v>1064065.6323816241</v>
      </c>
      <c r="Y216" s="296">
        <f>IF(Y$2&gt;Inputs!$G$19,0,SUM(Y208:Y215))</f>
        <v>1064065.6323816241</v>
      </c>
      <c r="Z216" s="296">
        <f>IF(Z$2&gt;Inputs!$G$19,0,SUM(Z208:Z215))</f>
        <v>0</v>
      </c>
      <c r="AA216" s="296">
        <f>IF(AA$2&gt;Inputs!$G$19,0,SUM(AA208:AA215))</f>
        <v>0</v>
      </c>
      <c r="AB216" s="296">
        <f>IF(AB$2&gt;Inputs!$G$19,0,SUM(AB208:AB215))</f>
        <v>0</v>
      </c>
      <c r="AC216" s="296">
        <f>IF(AC$2&gt;Inputs!$G$19,0,SUM(AC208:AC215))</f>
        <v>0</v>
      </c>
      <c r="AD216" s="296">
        <f>IF(AD$2&gt;Inputs!$G$19,0,SUM(AD208:AD215))</f>
        <v>0</v>
      </c>
      <c r="AE216" s="296">
        <f>IF(AE$2&gt;Inputs!$G$19,0,SUM(AE208:AE215))</f>
        <v>0</v>
      </c>
      <c r="AF216" s="296">
        <f>IF(AF$2&gt;Inputs!$G$19,0,SUM(AF208:AF215))</f>
        <v>0</v>
      </c>
      <c r="AG216" s="296">
        <f>IF(AG$2&gt;Inputs!$G$19,0,SUM(AG208:AG215))</f>
        <v>0</v>
      </c>
      <c r="AH216" s="296">
        <f>IF(AH$2&gt;Inputs!$G$19,0,SUM(AH208:AH215))</f>
        <v>0</v>
      </c>
      <c r="AI216" s="296">
        <f>IF(AI$2&gt;Inputs!$G$19,0,SUM(AI208:AI215))</f>
        <v>0</v>
      </c>
      <c r="AJ216" s="296">
        <f>IF(AJ$2&gt;Inputs!$G$19,0,SUM(AJ208:AJ215))</f>
        <v>0</v>
      </c>
    </row>
    <row r="217" spans="2:36" ht="16">
      <c r="B217" s="258"/>
      <c r="C217" s="258"/>
      <c r="D217" s="258"/>
      <c r="E217" s="303"/>
      <c r="F217" s="296"/>
      <c r="G217" s="296"/>
      <c r="H217" s="296"/>
      <c r="I217" s="296"/>
      <c r="J217" s="296"/>
      <c r="K217" s="296"/>
      <c r="L217" s="296"/>
      <c r="M217" s="296"/>
      <c r="N217" s="303"/>
      <c r="O217" s="303"/>
      <c r="P217" s="303"/>
      <c r="Q217" s="303"/>
      <c r="R217" s="303"/>
      <c r="S217" s="303"/>
      <c r="T217" s="303"/>
      <c r="U217" s="303"/>
      <c r="V217" s="303"/>
      <c r="W217" s="303"/>
      <c r="X217" s="303"/>
      <c r="Y217" s="303"/>
      <c r="Z217" s="303"/>
      <c r="AA217" s="303"/>
      <c r="AB217" s="303"/>
      <c r="AC217" s="303"/>
      <c r="AD217" s="303"/>
      <c r="AE217" s="303"/>
      <c r="AF217" s="303"/>
      <c r="AG217" s="303"/>
      <c r="AH217" s="303"/>
      <c r="AI217" s="303"/>
      <c r="AJ217" s="303"/>
    </row>
    <row r="218" spans="2:36" ht="16">
      <c r="B218" s="259" t="s">
        <v>180</v>
      </c>
      <c r="C218" s="259"/>
      <c r="D218" s="259"/>
      <c r="E218" s="303"/>
      <c r="F218" s="296"/>
      <c r="G218" s="296">
        <f>AVERAGE(G208,G216)*Inputs!$Q$77</f>
        <v>22184.324224411441</v>
      </c>
      <c r="H218" s="296">
        <f>AVERAGE(H208,H216)*Inputs!$Q$77</f>
        <v>22184.324224411441</v>
      </c>
      <c r="I218" s="296">
        <f>AVERAGE(I208,I216)*Inputs!$Q$77</f>
        <v>22184.324224411441</v>
      </c>
      <c r="J218" s="296">
        <f>AVERAGE(J208,J216)*Inputs!$Q$77</f>
        <v>22184.324224411441</v>
      </c>
      <c r="K218" s="296">
        <f>AVERAGE(K208,K216)*Inputs!$Q$77</f>
        <v>22184.324224411441</v>
      </c>
      <c r="L218" s="296">
        <f>AVERAGE(L208,L216)*Inputs!$Q$77</f>
        <v>22184.324224411441</v>
      </c>
      <c r="M218" s="296">
        <f>AVERAGE(M208,M216)*Inputs!$Q$77</f>
        <v>22184.324224411441</v>
      </c>
      <c r="N218" s="296">
        <f>AVERAGE(N208,N216)*Inputs!$Q$77</f>
        <v>22184.324224411441</v>
      </c>
      <c r="O218" s="296">
        <f>AVERAGE(O208,O216)*Inputs!$Q$77</f>
        <v>22184.324224411441</v>
      </c>
      <c r="P218" s="296">
        <f>AVERAGE(P208,P216)*Inputs!$Q$77</f>
        <v>22184.324224411441</v>
      </c>
      <c r="Q218" s="296">
        <f>AVERAGE(Q208,Q216)*Inputs!$Q$77</f>
        <v>22184.324224411441</v>
      </c>
      <c r="R218" s="296">
        <f>AVERAGE(R208,R216)*Inputs!$Q$77</f>
        <v>22184.324224411441</v>
      </c>
      <c r="S218" s="296">
        <f>AVERAGE(S208,S216)*Inputs!$Q$77</f>
        <v>22184.324224411441</v>
      </c>
      <c r="T218" s="296">
        <f>AVERAGE(T208,T216)*Inputs!$Q$77</f>
        <v>19072.654355067902</v>
      </c>
      <c r="U218" s="296">
        <f>AVERAGE(U208,U216)*Inputs!$Q$77</f>
        <v>15960.984485724361</v>
      </c>
      <c r="V218" s="296">
        <f>AVERAGE(V208,V216)*Inputs!$Q$77</f>
        <v>15960.984485724361</v>
      </c>
      <c r="W218" s="296">
        <f>AVERAGE(W208,W216)*Inputs!$Q$77</f>
        <v>15960.984485724361</v>
      </c>
      <c r="X218" s="296">
        <f>AVERAGE(X208,X216)*Inputs!$Q$77</f>
        <v>15960.984485724361</v>
      </c>
      <c r="Y218" s="296">
        <f>AVERAGE(Y208,Y216)*Inputs!$Q$77</f>
        <v>15960.984485724361</v>
      </c>
      <c r="Z218" s="296">
        <f>AVERAGE(Z208,Z216)*Inputs!$Q$77</f>
        <v>7980.4922428621803</v>
      </c>
      <c r="AA218" s="296">
        <f>AVERAGE(AA208,AA216)*Inputs!$Q$77</f>
        <v>0</v>
      </c>
      <c r="AB218" s="296">
        <f>AVERAGE(AB208,AB216)*Inputs!$Q$77</f>
        <v>0</v>
      </c>
      <c r="AC218" s="296">
        <f>AVERAGE(AC208,AC216)*Inputs!$Q$77</f>
        <v>0</v>
      </c>
      <c r="AD218" s="296">
        <f>AVERAGE(AD208,AD216)*Inputs!$Q$77</f>
        <v>0</v>
      </c>
      <c r="AE218" s="296">
        <f>AVERAGE(AE208,AE216)*Inputs!$Q$77</f>
        <v>0</v>
      </c>
      <c r="AF218" s="296">
        <f>AVERAGE(AF208,AF216)*Inputs!$Q$77</f>
        <v>0</v>
      </c>
      <c r="AG218" s="296">
        <f>AVERAGE(AG208,AG216)*Inputs!$Q$77</f>
        <v>0</v>
      </c>
      <c r="AH218" s="296">
        <f>AVERAGE(AH208,AH216)*Inputs!$Q$77</f>
        <v>0</v>
      </c>
      <c r="AI218" s="296">
        <f>AVERAGE(AI208,AI216)*Inputs!$Q$77</f>
        <v>0</v>
      </c>
      <c r="AJ218" s="296">
        <f>AVERAGE(AJ208,AJ216)*Inputs!$Q$77</f>
        <v>0</v>
      </c>
    </row>
    <row r="219" spans="2:36" ht="16">
      <c r="B219" s="259" t="s">
        <v>181</v>
      </c>
      <c r="C219" s="259"/>
      <c r="D219" s="259"/>
      <c r="E219" s="303"/>
      <c r="F219" s="303"/>
      <c r="G219" s="296">
        <f>SUM(G209:G215)</f>
        <v>0</v>
      </c>
      <c r="H219" s="296">
        <f t="shared" ref="H219:AJ219" si="66">SUM(H209:H215)</f>
        <v>0</v>
      </c>
      <c r="I219" s="296">
        <f t="shared" si="66"/>
        <v>0</v>
      </c>
      <c r="J219" s="296">
        <f t="shared" si="66"/>
        <v>0</v>
      </c>
      <c r="K219" s="296">
        <f t="shared" si="66"/>
        <v>0</v>
      </c>
      <c r="L219" s="296">
        <f t="shared" si="66"/>
        <v>0</v>
      </c>
      <c r="M219" s="296">
        <f t="shared" si="66"/>
        <v>0</v>
      </c>
      <c r="N219" s="296">
        <f t="shared" si="66"/>
        <v>0</v>
      </c>
      <c r="O219" s="296">
        <f t="shared" si="66"/>
        <v>0</v>
      </c>
      <c r="P219" s="296">
        <f t="shared" si="66"/>
        <v>0</v>
      </c>
      <c r="Q219" s="296">
        <f t="shared" si="66"/>
        <v>0</v>
      </c>
      <c r="R219" s="296">
        <f t="shared" si="66"/>
        <v>0</v>
      </c>
      <c r="S219" s="296">
        <f t="shared" si="66"/>
        <v>0</v>
      </c>
      <c r="T219" s="296">
        <f t="shared" si="66"/>
        <v>-414889.31591247208</v>
      </c>
      <c r="U219" s="296">
        <f t="shared" si="66"/>
        <v>0</v>
      </c>
      <c r="V219" s="296">
        <f t="shared" si="66"/>
        <v>0</v>
      </c>
      <c r="W219" s="296">
        <f t="shared" si="66"/>
        <v>0</v>
      </c>
      <c r="X219" s="296">
        <f t="shared" si="66"/>
        <v>0</v>
      </c>
      <c r="Y219" s="296">
        <f t="shared" si="66"/>
        <v>0</v>
      </c>
      <c r="Z219" s="296">
        <f t="shared" si="66"/>
        <v>-1064065.6323816241</v>
      </c>
      <c r="AA219" s="296">
        <f t="shared" si="66"/>
        <v>0</v>
      </c>
      <c r="AB219" s="296">
        <f t="shared" si="66"/>
        <v>0</v>
      </c>
      <c r="AC219" s="296">
        <f t="shared" si="66"/>
        <v>0</v>
      </c>
      <c r="AD219" s="296">
        <f t="shared" si="66"/>
        <v>0</v>
      </c>
      <c r="AE219" s="296">
        <f t="shared" si="66"/>
        <v>0</v>
      </c>
      <c r="AF219" s="296">
        <f t="shared" si="66"/>
        <v>0</v>
      </c>
      <c r="AG219" s="296">
        <f t="shared" si="66"/>
        <v>0</v>
      </c>
      <c r="AH219" s="296">
        <f t="shared" si="66"/>
        <v>0</v>
      </c>
      <c r="AI219" s="296">
        <f t="shared" si="66"/>
        <v>0</v>
      </c>
      <c r="AJ219" s="296">
        <f t="shared" si="66"/>
        <v>0</v>
      </c>
    </row>
    <row r="220" spans="2:36" ht="17" thickBot="1">
      <c r="B220" s="304"/>
      <c r="C220" s="304"/>
      <c r="D220" s="304"/>
      <c r="E220" s="305"/>
      <c r="F220" s="306"/>
      <c r="G220" s="306"/>
      <c r="H220" s="306"/>
      <c r="I220" s="306"/>
      <c r="J220" s="306"/>
      <c r="K220" s="306"/>
      <c r="L220" s="306"/>
      <c r="M220" s="306"/>
      <c r="N220" s="306"/>
      <c r="O220" s="306"/>
      <c r="P220" s="306"/>
      <c r="Q220" s="306"/>
      <c r="R220" s="306"/>
      <c r="S220" s="306"/>
      <c r="T220" s="306"/>
      <c r="U220" s="306"/>
      <c r="V220" s="306"/>
      <c r="W220" s="306"/>
      <c r="X220" s="306"/>
      <c r="Y220" s="306"/>
      <c r="Z220" s="306"/>
      <c r="AA220" s="306"/>
      <c r="AB220" s="306"/>
      <c r="AC220" s="306"/>
      <c r="AD220" s="306"/>
      <c r="AE220" s="306"/>
      <c r="AF220" s="306"/>
      <c r="AG220" s="306"/>
      <c r="AH220" s="306"/>
      <c r="AI220" s="306"/>
      <c r="AJ220" s="306"/>
    </row>
    <row r="221" spans="2:36" ht="16">
      <c r="B221" s="294"/>
      <c r="C221" s="294"/>
      <c r="D221" s="294"/>
      <c r="E221" s="303"/>
      <c r="F221" s="296"/>
      <c r="G221" s="415"/>
      <c r="H221" s="296"/>
      <c r="I221" s="296"/>
      <c r="J221" s="296"/>
      <c r="K221" s="296"/>
      <c r="L221" s="296"/>
      <c r="M221" s="296"/>
      <c r="N221" s="296"/>
      <c r="O221" s="296"/>
      <c r="P221" s="296"/>
      <c r="Q221" s="296"/>
      <c r="R221" s="296"/>
      <c r="S221" s="296"/>
      <c r="T221" s="296"/>
      <c r="U221" s="296"/>
      <c r="V221" s="296"/>
      <c r="W221" s="296"/>
      <c r="X221" s="296"/>
      <c r="Y221" s="296"/>
      <c r="Z221" s="296"/>
      <c r="AA221" s="296"/>
      <c r="AB221" s="296"/>
      <c r="AC221" s="296"/>
      <c r="AD221" s="296"/>
      <c r="AE221" s="296"/>
      <c r="AF221" s="296"/>
      <c r="AG221" s="296"/>
      <c r="AH221" s="296"/>
      <c r="AI221" s="296"/>
      <c r="AJ221" s="296"/>
    </row>
    <row r="222" spans="2:36" ht="17">
      <c r="B222" s="423" t="s">
        <v>264</v>
      </c>
      <c r="C222" s="423"/>
      <c r="D222" s="423"/>
      <c r="E222" s="303"/>
      <c r="F222" s="296"/>
      <c r="G222" s="416" t="s">
        <v>265</v>
      </c>
      <c r="H222" s="296"/>
      <c r="I222" s="296"/>
      <c r="J222" s="303"/>
      <c r="K222" s="416" t="s">
        <v>265</v>
      </c>
      <c r="L222" s="296"/>
      <c r="M222" s="296"/>
      <c r="N222" s="303"/>
      <c r="O222" s="416" t="s">
        <v>265</v>
      </c>
      <c r="P222" s="296"/>
      <c r="Q222" s="296"/>
      <c r="R222" s="416" t="s">
        <v>267</v>
      </c>
      <c r="S222" s="416" t="s">
        <v>268</v>
      </c>
      <c r="T222" s="303"/>
      <c r="U222" s="303"/>
      <c r="V222" s="296"/>
      <c r="W222" s="296"/>
      <c r="X222" s="296"/>
      <c r="Y222" s="296"/>
      <c r="Z222" s="296"/>
      <c r="AA222" s="296"/>
      <c r="AB222" s="296"/>
      <c r="AC222" s="296"/>
      <c r="AD222" s="296"/>
      <c r="AE222" s="296"/>
      <c r="AF222" s="296"/>
      <c r="AG222" s="296"/>
      <c r="AH222" s="296"/>
      <c r="AI222" s="296"/>
      <c r="AJ222" s="296"/>
    </row>
    <row r="223" spans="2:36" ht="16">
      <c r="B223" s="294" t="s">
        <v>269</v>
      </c>
      <c r="C223" s="294"/>
      <c r="D223" s="294"/>
      <c r="E223" s="303"/>
      <c r="F223" s="296"/>
      <c r="G223" s="296">
        <f>$D$82</f>
        <v>36223.421390774507</v>
      </c>
      <c r="H223" s="296"/>
      <c r="I223" s="296"/>
      <c r="J223" s="303"/>
      <c r="K223" s="296">
        <f>$D$82</f>
        <v>36223.421390774507</v>
      </c>
      <c r="L223" s="296"/>
      <c r="M223" s="296"/>
      <c r="N223" s="303"/>
      <c r="O223" s="296">
        <f>$D$82</f>
        <v>36223.421390774507</v>
      </c>
      <c r="P223" s="296"/>
      <c r="Q223" s="296"/>
      <c r="R223" s="417">
        <f>LOOKUP(MIN($P$224:$P$234),$O$224:$O$234,$N$224:$N$234)</f>
        <v>12.799999999999997</v>
      </c>
      <c r="S223" s="417">
        <f>LOOKUP(MAX($Q$224:$Q$234),$O$224:$O$234,$N$224:$N$234)</f>
        <v>12.899999999999997</v>
      </c>
      <c r="T223" s="462"/>
      <c r="U223" s="303"/>
      <c r="V223" s="296"/>
      <c r="W223" s="296"/>
      <c r="X223" s="296"/>
      <c r="Y223" s="296"/>
      <c r="Z223" s="296"/>
      <c r="AA223" s="296"/>
      <c r="AB223" s="296"/>
      <c r="AC223" s="296"/>
      <c r="AD223" s="296"/>
      <c r="AE223" s="296"/>
      <c r="AF223" s="296"/>
      <c r="AG223" s="296"/>
      <c r="AH223" s="296"/>
      <c r="AI223" s="296"/>
      <c r="AJ223" s="296"/>
    </row>
    <row r="224" spans="2:36" ht="16">
      <c r="B224" s="294"/>
      <c r="C224" s="294"/>
      <c r="D224" s="294"/>
      <c r="E224" s="303"/>
      <c r="F224" s="418">
        <v>0</v>
      </c>
      <c r="G224" s="296">
        <f t="dataTable" ref="G224:G234" dt2D="0" dtr="0" r1="G82" ca="1"/>
        <v>-13164258.874556173</v>
      </c>
      <c r="H224" s="296"/>
      <c r="I224" s="296"/>
      <c r="J224" s="419">
        <f>LOOKUP(MIN($H$224:$H$234),$G$224:$G$234,$F$224:$F$234)</f>
        <v>10</v>
      </c>
      <c r="K224" s="296">
        <f t="dataTable" ref="K224:K234" dt2D="0" dtr="0" r1="G82" ca="1"/>
        <v>-2891510.0061149672</v>
      </c>
      <c r="L224" s="296"/>
      <c r="M224" s="296"/>
      <c r="N224" s="419">
        <f>LOOKUP(MIN($L$224:$L$234),$K$224:$K$234,$J$224:$J$234)</f>
        <v>12</v>
      </c>
      <c r="O224" s="296">
        <f t="dataTable" ref="O224:O234" dt2D="0" dtr="0" r1="G82"/>
        <v>-836960.23242672533</v>
      </c>
      <c r="P224" s="296"/>
      <c r="Q224" s="296"/>
      <c r="R224" s="296"/>
      <c r="S224" s="296"/>
      <c r="T224" s="296"/>
      <c r="U224" s="296"/>
      <c r="V224" s="296"/>
      <c r="W224" s="296"/>
      <c r="X224" s="296"/>
      <c r="Y224" s="296"/>
      <c r="Z224" s="296"/>
      <c r="AA224" s="296"/>
      <c r="AB224" s="296"/>
      <c r="AC224" s="296"/>
      <c r="AD224" s="296"/>
      <c r="AE224" s="296"/>
      <c r="AF224" s="296"/>
      <c r="AG224" s="296"/>
      <c r="AH224" s="296"/>
      <c r="AI224" s="296"/>
      <c r="AJ224" s="296"/>
    </row>
    <row r="225" spans="2:36" ht="17">
      <c r="B225" s="303"/>
      <c r="C225" s="303"/>
      <c r="D225" s="303"/>
      <c r="E225" s="303"/>
      <c r="F225" s="418">
        <v>10</v>
      </c>
      <c r="G225" s="296">
        <v>-2891510.0061149672</v>
      </c>
      <c r="H225" s="296">
        <f t="shared" ref="H225:H234" si="67">IF(AND($G225&lt;0,$G226&gt;0),$G225,"")</f>
        <v>-2891510.0061149672</v>
      </c>
      <c r="I225" s="296" t="str">
        <f t="shared" ref="I225:I234" si="68">IF(AND($G225&gt;0,$G224&lt;0),$G225,"")</f>
        <v/>
      </c>
      <c r="J225" s="419">
        <f>J224+1</f>
        <v>11</v>
      </c>
      <c r="K225" s="296">
        <v>-1864235.1192708449</v>
      </c>
      <c r="L225" s="296" t="str">
        <f t="shared" ref="L225:L234" si="69">IF(AND($K225&lt;0,$K226&gt;0),$K225,"")</f>
        <v/>
      </c>
      <c r="M225" s="296" t="str">
        <f t="shared" ref="M225:M234" si="70">IF(AND($K225&gt;0,$K224&lt;0),$K225,"")</f>
        <v/>
      </c>
      <c r="N225" s="419">
        <f>N224+0.1</f>
        <v>12.1</v>
      </c>
      <c r="O225" s="296">
        <v>-734232.74374231254</v>
      </c>
      <c r="P225" s="296" t="str">
        <f>IF(AND($O225&lt;0,$O226&gt;0),$O225,"")</f>
        <v/>
      </c>
      <c r="Q225" s="296" t="str">
        <f>IF(AND($O225&gt;0,$O224&lt;0),$O225,"")</f>
        <v/>
      </c>
      <c r="R225" s="296"/>
      <c r="S225" s="296"/>
      <c r="T225" s="296"/>
      <c r="U225" s="296"/>
      <c r="V225" s="296"/>
      <c r="W225" s="296"/>
      <c r="X225" s="296"/>
      <c r="Y225" s="296"/>
      <c r="Z225" s="296"/>
      <c r="AA225" s="296"/>
      <c r="AB225" s="296"/>
      <c r="AC225" s="296"/>
      <c r="AD225" s="296"/>
      <c r="AE225" s="296"/>
      <c r="AF225" s="296"/>
      <c r="AG225" s="296"/>
      <c r="AH225" s="296"/>
      <c r="AI225" s="296"/>
      <c r="AJ225" s="296"/>
    </row>
    <row r="226" spans="2:36" ht="17">
      <c r="B226" s="303"/>
      <c r="C226" s="303"/>
      <c r="D226" s="303"/>
      <c r="E226" s="303"/>
      <c r="F226" s="418">
        <v>20</v>
      </c>
      <c r="G226" s="296">
        <v>7381238.8623262411</v>
      </c>
      <c r="H226" s="296" t="str">
        <f t="shared" si="67"/>
        <v/>
      </c>
      <c r="I226" s="296">
        <f t="shared" si="68"/>
        <v>7381238.8623262411</v>
      </c>
      <c r="J226" s="419">
        <f t="shared" ref="J226:J233" si="71">J225+1</f>
        <v>12</v>
      </c>
      <c r="K226" s="296">
        <v>-836960.23242672533</v>
      </c>
      <c r="L226" s="296">
        <f t="shared" si="69"/>
        <v>-836960.23242672533</v>
      </c>
      <c r="M226" s="296" t="str">
        <f t="shared" si="70"/>
        <v/>
      </c>
      <c r="N226" s="419">
        <f t="shared" ref="N226:N233" si="72">N225+0.1</f>
        <v>12.2</v>
      </c>
      <c r="O226" s="296">
        <v>-631505.25505790242</v>
      </c>
      <c r="P226" s="296" t="str">
        <f t="shared" ref="P226:P234" si="73">IF(AND($O226&lt;0,$O227&gt;0),$O226,"")</f>
        <v/>
      </c>
      <c r="Q226" s="296" t="str">
        <f t="shared" ref="Q226:Q234" si="74">IF(AND($O226&gt;0,$O225&lt;0),$O226,"")</f>
        <v/>
      </c>
      <c r="R226" s="296"/>
      <c r="S226" s="296"/>
      <c r="T226" s="296"/>
      <c r="U226" s="296"/>
      <c r="V226" s="296"/>
      <c r="W226" s="296"/>
      <c r="X226" s="296"/>
      <c r="Y226" s="296"/>
      <c r="Z226" s="296"/>
      <c r="AA226" s="296"/>
      <c r="AB226" s="296"/>
      <c r="AC226" s="296"/>
      <c r="AD226" s="296"/>
      <c r="AE226" s="296"/>
      <c r="AF226" s="296"/>
      <c r="AG226" s="296"/>
      <c r="AH226" s="296"/>
      <c r="AI226" s="296"/>
      <c r="AJ226" s="296"/>
    </row>
    <row r="227" spans="2:36" ht="17">
      <c r="B227" s="303"/>
      <c r="C227" s="303"/>
      <c r="D227" s="303"/>
      <c r="E227" s="303"/>
      <c r="F227" s="418">
        <v>30</v>
      </c>
      <c r="G227" s="296">
        <v>17653987.730767448</v>
      </c>
      <c r="H227" s="296" t="str">
        <f t="shared" si="67"/>
        <v/>
      </c>
      <c r="I227" s="296" t="str">
        <f t="shared" si="68"/>
        <v/>
      </c>
      <c r="J227" s="419">
        <f t="shared" si="71"/>
        <v>13</v>
      </c>
      <c r="K227" s="296">
        <v>190314.65441739507</v>
      </c>
      <c r="L227" s="296" t="str">
        <f t="shared" si="69"/>
        <v/>
      </c>
      <c r="M227" s="296">
        <f t="shared" si="70"/>
        <v>190314.65441739507</v>
      </c>
      <c r="N227" s="419">
        <f t="shared" si="72"/>
        <v>12.299999999999999</v>
      </c>
      <c r="O227" s="296">
        <v>-528777.76637348998</v>
      </c>
      <c r="P227" s="296" t="str">
        <f t="shared" si="73"/>
        <v/>
      </c>
      <c r="Q227" s="296" t="str">
        <f t="shared" si="74"/>
        <v/>
      </c>
      <c r="R227" s="296"/>
      <c r="S227" s="296"/>
      <c r="T227" s="296"/>
      <c r="U227" s="296"/>
      <c r="V227" s="296"/>
      <c r="W227" s="296"/>
      <c r="X227" s="296"/>
      <c r="Y227" s="296"/>
      <c r="Z227" s="296"/>
      <c r="AA227" s="296"/>
      <c r="AB227" s="296"/>
      <c r="AC227" s="296"/>
      <c r="AD227" s="296"/>
      <c r="AE227" s="296"/>
      <c r="AF227" s="296"/>
      <c r="AG227" s="296"/>
      <c r="AH227" s="296"/>
      <c r="AI227" s="296"/>
      <c r="AJ227" s="296"/>
    </row>
    <row r="228" spans="2:36" ht="17">
      <c r="B228" s="303"/>
      <c r="C228" s="303"/>
      <c r="D228" s="303"/>
      <c r="E228" s="303"/>
      <c r="F228" s="418">
        <v>40</v>
      </c>
      <c r="G228" s="296">
        <v>27926736.599208653</v>
      </c>
      <c r="H228" s="296" t="str">
        <f t="shared" si="67"/>
        <v/>
      </c>
      <c r="I228" s="296" t="str">
        <f t="shared" si="68"/>
        <v/>
      </c>
      <c r="J228" s="419">
        <f t="shared" si="71"/>
        <v>14</v>
      </c>
      <c r="K228" s="296">
        <v>1217589.541261516</v>
      </c>
      <c r="L228" s="296" t="str">
        <f t="shared" si="69"/>
        <v/>
      </c>
      <c r="M228" s="296" t="str">
        <f t="shared" si="70"/>
        <v/>
      </c>
      <c r="N228" s="419">
        <f t="shared" si="72"/>
        <v>12.399999999999999</v>
      </c>
      <c r="O228" s="296">
        <v>-426050.27768907853</v>
      </c>
      <c r="P228" s="296" t="str">
        <f t="shared" si="73"/>
        <v/>
      </c>
      <c r="Q228" s="296" t="str">
        <f t="shared" si="74"/>
        <v/>
      </c>
      <c r="R228" s="296"/>
      <c r="S228" s="296"/>
      <c r="T228" s="296"/>
      <c r="U228" s="296"/>
      <c r="V228" s="296"/>
      <c r="W228" s="296"/>
      <c r="X228" s="296"/>
      <c r="Y228" s="296"/>
      <c r="Z228" s="296"/>
      <c r="AA228" s="296"/>
      <c r="AB228" s="296"/>
      <c r="AC228" s="296"/>
      <c r="AD228" s="296"/>
      <c r="AE228" s="296"/>
      <c r="AF228" s="296"/>
      <c r="AG228" s="296"/>
      <c r="AH228" s="296"/>
      <c r="AI228" s="296"/>
      <c r="AJ228" s="296"/>
    </row>
    <row r="229" spans="2:36" ht="17">
      <c r="B229" s="303"/>
      <c r="C229" s="303"/>
      <c r="D229" s="303"/>
      <c r="E229" s="303"/>
      <c r="F229" s="418">
        <v>50</v>
      </c>
      <c r="G229" s="296">
        <v>38199485.467649855</v>
      </c>
      <c r="H229" s="296" t="str">
        <f t="shared" si="67"/>
        <v/>
      </c>
      <c r="I229" s="296" t="str">
        <f t="shared" si="68"/>
        <v/>
      </c>
      <c r="J229" s="419">
        <f t="shared" si="71"/>
        <v>15</v>
      </c>
      <c r="K229" s="296">
        <v>2244864.428105636</v>
      </c>
      <c r="L229" s="296" t="str">
        <f t="shared" si="69"/>
        <v/>
      </c>
      <c r="M229" s="296" t="str">
        <f t="shared" si="70"/>
        <v/>
      </c>
      <c r="N229" s="419">
        <f t="shared" si="72"/>
        <v>12.499999999999998</v>
      </c>
      <c r="O229" s="296">
        <v>-323322.78900466848</v>
      </c>
      <c r="P229" s="296" t="str">
        <f t="shared" si="73"/>
        <v/>
      </c>
      <c r="Q229" s="296" t="str">
        <f t="shared" si="74"/>
        <v/>
      </c>
      <c r="R229" s="296"/>
      <c r="S229" s="296"/>
      <c r="T229" s="296"/>
      <c r="U229" s="296"/>
      <c r="V229" s="296"/>
      <c r="W229" s="296"/>
      <c r="X229" s="296"/>
      <c r="Y229" s="296"/>
      <c r="Z229" s="296"/>
      <c r="AA229" s="296"/>
      <c r="AB229" s="296"/>
      <c r="AC229" s="296"/>
      <c r="AD229" s="296"/>
      <c r="AE229" s="296"/>
      <c r="AF229" s="296"/>
      <c r="AG229" s="296"/>
      <c r="AH229" s="296"/>
      <c r="AI229" s="296"/>
      <c r="AJ229" s="296"/>
    </row>
    <row r="230" spans="2:36" ht="17">
      <c r="B230" s="303"/>
      <c r="C230" s="303"/>
      <c r="D230" s="303"/>
      <c r="E230" s="303"/>
      <c r="F230" s="418">
        <v>60</v>
      </c>
      <c r="G230" s="296">
        <v>48472234.336091071</v>
      </c>
      <c r="H230" s="296" t="str">
        <f t="shared" si="67"/>
        <v/>
      </c>
      <c r="I230" s="296" t="str">
        <f t="shared" si="68"/>
        <v/>
      </c>
      <c r="J230" s="419">
        <f t="shared" si="71"/>
        <v>16</v>
      </c>
      <c r="K230" s="296">
        <v>3272139.3149497565</v>
      </c>
      <c r="L230" s="296" t="str">
        <f t="shared" si="69"/>
        <v/>
      </c>
      <c r="M230" s="296" t="str">
        <f t="shared" si="70"/>
        <v/>
      </c>
      <c r="N230" s="419">
        <f t="shared" si="72"/>
        <v>12.599999999999998</v>
      </c>
      <c r="O230" s="296">
        <v>-220595.30032025537</v>
      </c>
      <c r="P230" s="296" t="str">
        <f t="shared" si="73"/>
        <v/>
      </c>
      <c r="Q230" s="296" t="str">
        <f t="shared" si="74"/>
        <v/>
      </c>
      <c r="R230" s="296"/>
      <c r="S230" s="296"/>
      <c r="T230" s="296"/>
      <c r="U230" s="296"/>
      <c r="V230" s="296"/>
      <c r="W230" s="296"/>
      <c r="X230" s="296"/>
      <c r="Y230" s="296"/>
      <c r="Z230" s="296"/>
      <c r="AA230" s="296"/>
      <c r="AB230" s="296"/>
      <c r="AC230" s="296"/>
      <c r="AD230" s="296"/>
      <c r="AE230" s="296"/>
      <c r="AF230" s="296"/>
      <c r="AG230" s="296"/>
      <c r="AH230" s="296"/>
      <c r="AI230" s="296"/>
      <c r="AJ230" s="296"/>
    </row>
    <row r="231" spans="2:36" ht="17">
      <c r="B231" s="303"/>
      <c r="C231" s="303"/>
      <c r="D231" s="303"/>
      <c r="E231" s="303"/>
      <c r="F231" s="418">
        <v>70</v>
      </c>
      <c r="G231" s="296">
        <v>58744983.204532273</v>
      </c>
      <c r="H231" s="296" t="str">
        <f t="shared" si="67"/>
        <v/>
      </c>
      <c r="I231" s="296" t="str">
        <f t="shared" si="68"/>
        <v/>
      </c>
      <c r="J231" s="419">
        <f t="shared" si="71"/>
        <v>17</v>
      </c>
      <c r="K231" s="296">
        <v>4299414.2017938774</v>
      </c>
      <c r="L231" s="296" t="str">
        <f t="shared" si="69"/>
        <v/>
      </c>
      <c r="M231" s="296" t="str">
        <f t="shared" si="70"/>
        <v/>
      </c>
      <c r="N231" s="419">
        <f t="shared" si="72"/>
        <v>12.699999999999998</v>
      </c>
      <c r="O231" s="296">
        <v>-117867.81163584377</v>
      </c>
      <c r="P231" s="296" t="str">
        <f t="shared" si="73"/>
        <v/>
      </c>
      <c r="Q231" s="296" t="str">
        <f t="shared" si="74"/>
        <v/>
      </c>
      <c r="R231" s="296"/>
      <c r="S231" s="296"/>
      <c r="T231" s="296"/>
      <c r="U231" s="296"/>
      <c r="V231" s="296"/>
      <c r="W231" s="296"/>
      <c r="X231" s="296"/>
      <c r="Y231" s="296"/>
      <c r="Z231" s="296"/>
      <c r="AA231" s="296"/>
      <c r="AB231" s="296"/>
      <c r="AC231" s="296"/>
      <c r="AD231" s="296"/>
      <c r="AE231" s="296"/>
      <c r="AF231" s="296"/>
      <c r="AG231" s="296"/>
      <c r="AH231" s="296"/>
      <c r="AI231" s="296"/>
      <c r="AJ231" s="296"/>
    </row>
    <row r="232" spans="2:36" ht="17">
      <c r="B232" s="303"/>
      <c r="C232" s="303"/>
      <c r="D232" s="303"/>
      <c r="E232" s="303"/>
      <c r="F232" s="418">
        <v>80</v>
      </c>
      <c r="G232" s="296">
        <v>69017732.072973505</v>
      </c>
      <c r="H232" s="296" t="str">
        <f t="shared" si="67"/>
        <v/>
      </c>
      <c r="I232" s="296" t="str">
        <f t="shared" si="68"/>
        <v/>
      </c>
      <c r="J232" s="419">
        <f t="shared" si="71"/>
        <v>18</v>
      </c>
      <c r="K232" s="296">
        <v>5326689.0886379974</v>
      </c>
      <c r="L232" s="296" t="str">
        <f t="shared" si="69"/>
        <v/>
      </c>
      <c r="M232" s="296" t="str">
        <f t="shared" si="70"/>
        <v/>
      </c>
      <c r="N232" s="419">
        <f t="shared" si="72"/>
        <v>12.799999999999997</v>
      </c>
      <c r="O232" s="296">
        <v>-15140.322951431308</v>
      </c>
      <c r="P232" s="296">
        <f t="shared" si="73"/>
        <v>-15140.322951431308</v>
      </c>
      <c r="Q232" s="296" t="str">
        <f t="shared" si="74"/>
        <v/>
      </c>
      <c r="R232" s="296"/>
      <c r="S232" s="296"/>
      <c r="T232" s="296"/>
      <c r="U232" s="296"/>
      <c r="V232" s="296"/>
      <c r="W232" s="296"/>
      <c r="X232" s="296"/>
      <c r="Y232" s="296"/>
      <c r="Z232" s="296"/>
      <c r="AA232" s="296"/>
      <c r="AB232" s="296"/>
      <c r="AC232" s="296"/>
      <c r="AD232" s="296"/>
      <c r="AE232" s="296"/>
      <c r="AF232" s="296"/>
      <c r="AG232" s="296"/>
      <c r="AH232" s="296"/>
      <c r="AI232" s="296"/>
      <c r="AJ232" s="296"/>
    </row>
    <row r="233" spans="2:36" ht="17">
      <c r="B233" s="303"/>
      <c r="C233" s="303"/>
      <c r="D233" s="303"/>
      <c r="E233" s="303"/>
      <c r="F233" s="418">
        <v>90</v>
      </c>
      <c r="G233" s="296">
        <v>79290480.941414699</v>
      </c>
      <c r="H233" s="296" t="str">
        <f t="shared" si="67"/>
        <v/>
      </c>
      <c r="I233" s="296" t="str">
        <f t="shared" si="68"/>
        <v/>
      </c>
      <c r="J233" s="419">
        <f t="shared" si="71"/>
        <v>19</v>
      </c>
      <c r="K233" s="296">
        <v>6353963.9754821183</v>
      </c>
      <c r="L233" s="296" t="str">
        <f t="shared" si="69"/>
        <v/>
      </c>
      <c r="M233" s="296" t="str">
        <f t="shared" si="70"/>
        <v/>
      </c>
      <c r="N233" s="419">
        <f t="shared" si="72"/>
        <v>12.899999999999997</v>
      </c>
      <c r="O233" s="296">
        <v>87587.165732979207</v>
      </c>
      <c r="P233" s="296" t="str">
        <f t="shared" si="73"/>
        <v/>
      </c>
      <c r="Q233" s="296">
        <f t="shared" si="74"/>
        <v>87587.165732979207</v>
      </c>
      <c r="R233" s="296"/>
      <c r="S233" s="296"/>
      <c r="T233" s="296"/>
      <c r="U233" s="296"/>
      <c r="V233" s="296"/>
      <c r="W233" s="296"/>
      <c r="X233" s="296"/>
      <c r="Y233" s="296"/>
      <c r="Z233" s="296"/>
      <c r="AA233" s="296"/>
      <c r="AB233" s="296"/>
      <c r="AC233" s="296"/>
      <c r="AD233" s="296"/>
      <c r="AE233" s="296"/>
      <c r="AF233" s="296"/>
      <c r="AG233" s="296"/>
      <c r="AH233" s="296"/>
      <c r="AI233" s="296"/>
      <c r="AJ233" s="296"/>
    </row>
    <row r="234" spans="2:36" ht="17">
      <c r="B234" s="303"/>
      <c r="C234" s="303"/>
      <c r="D234" s="303"/>
      <c r="E234" s="303"/>
      <c r="F234" s="418">
        <v>100</v>
      </c>
      <c r="G234" s="296">
        <v>89563229.809855893</v>
      </c>
      <c r="H234" s="296" t="str">
        <f t="shared" si="67"/>
        <v/>
      </c>
      <c r="I234" s="296" t="str">
        <f t="shared" si="68"/>
        <v/>
      </c>
      <c r="J234" s="419">
        <f>LOOKUP(MAX($I$224:$I$234),$G$224:$G$234,$F$224:$F$234)</f>
        <v>20</v>
      </c>
      <c r="K234" s="296">
        <v>7381238.8623262411</v>
      </c>
      <c r="L234" s="296" t="str">
        <f t="shared" si="69"/>
        <v/>
      </c>
      <c r="M234" s="296" t="str">
        <f t="shared" si="70"/>
        <v/>
      </c>
      <c r="N234" s="419">
        <f>LOOKUP(MAX($M$224:$M$234),$K$224:$K$234,$J$224:$J$234)</f>
        <v>13</v>
      </c>
      <c r="O234" s="296">
        <v>190314.65441739507</v>
      </c>
      <c r="P234" s="296" t="str">
        <f t="shared" si="73"/>
        <v/>
      </c>
      <c r="Q234" s="296" t="str">
        <f t="shared" si="74"/>
        <v/>
      </c>
      <c r="R234" s="296"/>
      <c r="S234" s="296"/>
      <c r="T234" s="296"/>
      <c r="U234" s="296"/>
      <c r="V234" s="296"/>
      <c r="W234" s="296"/>
      <c r="X234" s="296"/>
      <c r="Y234" s="296"/>
      <c r="Z234" s="296"/>
      <c r="AA234" s="296"/>
      <c r="AB234" s="296"/>
      <c r="AC234" s="296"/>
      <c r="AD234" s="296"/>
      <c r="AE234" s="296"/>
      <c r="AF234" s="296"/>
      <c r="AG234" s="296"/>
      <c r="AH234" s="296"/>
      <c r="AI234" s="296"/>
      <c r="AJ234" s="296"/>
    </row>
    <row r="235" spans="2:36" ht="16" thickBot="1">
      <c r="B235" s="305"/>
      <c r="C235" s="305"/>
      <c r="D235" s="305"/>
      <c r="E235" s="305"/>
      <c r="F235" s="422"/>
      <c r="G235" s="305"/>
      <c r="H235" s="305"/>
      <c r="I235" s="305"/>
      <c r="J235" s="305"/>
      <c r="K235" s="305"/>
      <c r="L235" s="305"/>
      <c r="M235" s="305"/>
      <c r="N235" s="305"/>
      <c r="O235" s="305"/>
      <c r="P235" s="305"/>
      <c r="Q235" s="305"/>
      <c r="R235" s="305"/>
      <c r="S235" s="305"/>
      <c r="T235" s="305"/>
      <c r="U235" s="305"/>
      <c r="V235" s="305"/>
      <c r="W235" s="305"/>
      <c r="X235" s="305"/>
      <c r="Y235" s="305"/>
      <c r="Z235" s="305"/>
      <c r="AA235" s="305"/>
      <c r="AB235" s="305"/>
      <c r="AC235" s="305"/>
      <c r="AD235" s="305"/>
      <c r="AE235" s="305"/>
      <c r="AF235" s="305"/>
      <c r="AG235" s="305"/>
      <c r="AH235" s="305"/>
      <c r="AI235" s="305"/>
      <c r="AJ235" s="305"/>
    </row>
    <row r="236" spans="2:36" s="420" customFormat="1">
      <c r="F236" s="421"/>
    </row>
    <row r="237" spans="2:36">
      <c r="F237" s="414"/>
    </row>
    <row r="238" spans="2:36">
      <c r="F238" s="414"/>
    </row>
    <row r="239" spans="2:36">
      <c r="F239" s="414"/>
    </row>
    <row r="240" spans="2:36">
      <c r="F240" s="414"/>
    </row>
    <row r="241" spans="6:6">
      <c r="F241" s="414"/>
    </row>
    <row r="242" spans="6:6">
      <c r="F242" s="414"/>
    </row>
    <row r="243" spans="6:6">
      <c r="F243" s="414"/>
    </row>
    <row r="244" spans="6:6">
      <c r="F244" s="414"/>
    </row>
    <row r="245" spans="6:6">
      <c r="F245" s="414"/>
    </row>
    <row r="246" spans="6:6">
      <c r="F246" s="414"/>
    </row>
    <row r="247" spans="6:6">
      <c r="F247" s="414"/>
    </row>
  </sheetData>
  <mergeCells count="3">
    <mergeCell ref="C106:E106"/>
    <mergeCell ref="B80:C80"/>
    <mergeCell ref="B82:C82"/>
  </mergeCells>
  <conditionalFormatting sqref="B30">
    <cfRule type="expression" dxfId="3" priority="5">
      <formula>$G$37="Simple"</formula>
    </cfRule>
  </conditionalFormatting>
  <dataValidations disablePrompts="1" count="1">
    <dataValidation type="list" allowBlank="1" showInputMessage="1" showErrorMessage="1" sqref="E65642 HW65642 RS65642 ABO65642 ALK65642 AVG65642 BFC65642 BOY65642 BYU65642 CIQ65642 CSM65642 DCI65642 DME65642 DWA65642 EFW65642 EPS65642 EZO65642 FJK65642 FTG65642 GDC65642 GMY65642 GWU65642 HGQ65642 HQM65642 IAI65642 IKE65642 IUA65642 JDW65642 JNS65642 JXO65642 KHK65642 KRG65642 LBC65642 LKY65642 LUU65642 MEQ65642 MOM65642 MYI65642 NIE65642 NSA65642 OBW65642 OLS65642 OVO65642 PFK65642 PPG65642 PZC65642 QIY65642 QSU65642 RCQ65642 RMM65642 RWI65642 SGE65642 SQA65642 SZW65642 TJS65642 TTO65642 UDK65642 UNG65642 UXC65642 VGY65642 VQU65642 WAQ65642 WKM65642 WUI65642 HW131178 RS131178 ABO131178 ALK131178 AVG131178 BFC131178 BOY131178 BYU131178 CIQ131178 CSM131178 DCI131178 DME131178 DWA131178 EFW131178 EPS131178 EZO131178 FJK131178 FTG131178 GDC131178 GMY131178 GWU131178 HGQ131178 HQM131178 IAI131178 IKE131178 IUA131178 JDW131178 JNS131178 JXO131178 KHK131178 KRG131178 LBC131178 LKY131178 LUU131178 MEQ131178 MOM131178 MYI131178 NIE131178 NSA131178 OBW131178 OLS131178 OVO131178 PFK131178 PPG131178 PZC131178 QIY131178 QSU131178 RCQ131178 RMM131178 RWI131178 SGE131178 SQA131178 SZW131178 TJS131178 TTO131178 UDK131178 UNG131178 UXC131178 VGY131178 VQU131178 WAQ131178 WKM131178 WUI131178 HW196714 RS196714 ABO196714 ALK196714 AVG196714 BFC196714 BOY196714 BYU196714 CIQ196714 CSM196714 DCI196714 DME196714 DWA196714 EFW196714 EPS196714 EZO196714 FJK196714 FTG196714 GDC196714 GMY196714 GWU196714 HGQ196714 HQM196714 IAI196714 IKE196714 IUA196714 JDW196714 JNS196714 JXO196714 KHK196714 KRG196714 LBC196714 LKY196714 LUU196714 MEQ196714 MOM196714 MYI196714 NIE196714 NSA196714 OBW196714 OLS196714 OVO196714 PFK196714 PPG196714 PZC196714 QIY196714 QSU196714 RCQ196714 RMM196714 RWI196714 SGE196714 SQA196714 SZW196714 TJS196714 TTO196714 UDK196714 UNG196714 UXC196714 VGY196714 VQU196714 WAQ196714 WKM196714 WUI196714 HW262250 RS262250 ABO262250 ALK262250 AVG262250 BFC262250 BOY262250 BYU262250 CIQ262250 CSM262250 DCI262250 DME262250 DWA262250 EFW262250 EPS262250 EZO262250 FJK262250 FTG262250 GDC262250 GMY262250 GWU262250 HGQ262250 HQM262250 IAI262250 IKE262250 IUA262250 JDW262250 JNS262250 JXO262250 KHK262250 KRG262250 LBC262250 LKY262250 LUU262250 MEQ262250 MOM262250 MYI262250 NIE262250 NSA262250 OBW262250 OLS262250 OVO262250 PFK262250 PPG262250 PZC262250 QIY262250 QSU262250 RCQ262250 RMM262250 RWI262250 SGE262250 SQA262250 SZW262250 TJS262250 TTO262250 UDK262250 UNG262250 UXC262250 VGY262250 VQU262250 WAQ262250 WKM262250 WUI262250 HW327786 RS327786 ABO327786 ALK327786 AVG327786 BFC327786 BOY327786 BYU327786 CIQ327786 CSM327786 DCI327786 DME327786 DWA327786 EFW327786 EPS327786 EZO327786 FJK327786 FTG327786 GDC327786 GMY327786 GWU327786 HGQ327786 HQM327786 IAI327786 IKE327786 IUA327786 JDW327786 JNS327786 JXO327786 KHK327786 KRG327786 LBC327786 LKY327786 LUU327786 MEQ327786 MOM327786 MYI327786 NIE327786 NSA327786 OBW327786 OLS327786 OVO327786 PFK327786 PPG327786 PZC327786 QIY327786 QSU327786 RCQ327786 RMM327786 RWI327786 SGE327786 SQA327786 SZW327786 TJS327786 TTO327786 UDK327786 UNG327786 UXC327786 VGY327786 VQU327786 WAQ327786 WKM327786 WUI327786 HW393322 RS393322 ABO393322 ALK393322 AVG393322 BFC393322 BOY393322 BYU393322 CIQ393322 CSM393322 DCI393322 DME393322 DWA393322 EFW393322 EPS393322 EZO393322 FJK393322 FTG393322 GDC393322 GMY393322 GWU393322 HGQ393322 HQM393322 IAI393322 IKE393322 IUA393322 JDW393322 JNS393322 JXO393322 KHK393322 KRG393322 LBC393322 LKY393322 LUU393322 MEQ393322 MOM393322 MYI393322 NIE393322 NSA393322 OBW393322 OLS393322 OVO393322 PFK393322 PPG393322 PZC393322 QIY393322 QSU393322 RCQ393322 RMM393322 RWI393322 SGE393322 SQA393322 SZW393322 TJS393322 TTO393322 UDK393322 UNG393322 UXC393322 VGY393322 VQU393322 WAQ393322 WKM393322 WUI393322 HW458858 RS458858 ABO458858 ALK458858 AVG458858 BFC458858 BOY458858 BYU458858 CIQ458858 CSM458858 DCI458858 DME458858 DWA458858 EFW458858 EPS458858 EZO458858 FJK458858 FTG458858 GDC458858 GMY458858 GWU458858 HGQ458858 HQM458858 IAI458858 IKE458858 IUA458858 JDW458858 JNS458858 JXO458858 KHK458858 KRG458858 LBC458858 LKY458858 LUU458858 MEQ458858 MOM458858 MYI458858 NIE458858 NSA458858 OBW458858 OLS458858 OVO458858 PFK458858 PPG458858 PZC458858 QIY458858 QSU458858 RCQ458858 RMM458858 RWI458858 SGE458858 SQA458858 SZW458858 TJS458858 TTO458858 UDK458858 UNG458858 UXC458858 VGY458858 VQU458858 WAQ458858 WKM458858 WUI458858 HW524394 RS524394 ABO524394 ALK524394 AVG524394 BFC524394 BOY524394 BYU524394 CIQ524394 CSM524394 DCI524394 DME524394 DWA524394 EFW524394 EPS524394 EZO524394 FJK524394 FTG524394 GDC524394 GMY524394 GWU524394 HGQ524394 HQM524394 IAI524394 IKE524394 IUA524394 JDW524394 JNS524394 JXO524394 KHK524394 KRG524394 LBC524394 LKY524394 LUU524394 MEQ524394 MOM524394 MYI524394 NIE524394 NSA524394 OBW524394 OLS524394 OVO524394 PFK524394 PPG524394 PZC524394 QIY524394 QSU524394 RCQ524394 RMM524394 RWI524394 SGE524394 SQA524394 SZW524394 TJS524394 TTO524394 UDK524394 UNG524394 UXC524394 VGY524394 VQU524394 WAQ524394 WKM524394 WUI524394 HW589930 RS589930 ABO589930 ALK589930 AVG589930 BFC589930 BOY589930 BYU589930 CIQ589930 CSM589930 DCI589930 DME589930 DWA589930 EFW589930 EPS589930 EZO589930 FJK589930 FTG589930 GDC589930 GMY589930 GWU589930 HGQ589930 HQM589930 IAI589930 IKE589930 IUA589930 JDW589930 JNS589930 JXO589930 KHK589930 KRG589930 LBC589930 LKY589930 LUU589930 MEQ589930 MOM589930 MYI589930 NIE589930 NSA589930 OBW589930 OLS589930 OVO589930 PFK589930 PPG589930 PZC589930 QIY589930 QSU589930 RCQ589930 RMM589930 RWI589930 SGE589930 SQA589930 SZW589930 TJS589930 TTO589930 UDK589930 UNG589930 UXC589930 VGY589930 VQU589930 WAQ589930 WKM589930 WUI589930 HW655466 RS655466 ABO655466 ALK655466 AVG655466 BFC655466 BOY655466 BYU655466 CIQ655466 CSM655466 DCI655466 DME655466 DWA655466 EFW655466 EPS655466 EZO655466 FJK655466 FTG655466 GDC655466 GMY655466 GWU655466 HGQ655466 HQM655466 IAI655466 IKE655466 IUA655466 JDW655466 JNS655466 JXO655466 KHK655466 KRG655466 LBC655466 LKY655466 LUU655466 MEQ655466 MOM655466 MYI655466 NIE655466 NSA655466 OBW655466 OLS655466 OVO655466 PFK655466 PPG655466 PZC655466 QIY655466 QSU655466 RCQ655466 RMM655466 RWI655466 SGE655466 SQA655466 SZW655466 TJS655466 TTO655466 UDK655466 UNG655466 UXC655466 VGY655466 VQU655466 WAQ655466 WKM655466 WUI655466 HW721002 RS721002 ABO721002 ALK721002 AVG721002 BFC721002 BOY721002 BYU721002 CIQ721002 CSM721002 DCI721002 DME721002 DWA721002 EFW721002 EPS721002 EZO721002 FJK721002 FTG721002 GDC721002 GMY721002 GWU721002 HGQ721002 HQM721002 IAI721002 IKE721002 IUA721002 JDW721002 JNS721002 JXO721002 KHK721002 KRG721002 LBC721002 LKY721002 LUU721002 MEQ721002 MOM721002 MYI721002 NIE721002 NSA721002 OBW721002 OLS721002 OVO721002 PFK721002 PPG721002 PZC721002 QIY721002 QSU721002 RCQ721002 RMM721002 RWI721002 SGE721002 SQA721002 SZW721002 TJS721002 TTO721002 UDK721002 UNG721002 UXC721002 VGY721002 VQU721002 WAQ721002 WKM721002 WUI721002 HW786538 RS786538 ABO786538 ALK786538 AVG786538 BFC786538 BOY786538 BYU786538 CIQ786538 CSM786538 DCI786538 DME786538 DWA786538 EFW786538 EPS786538 EZO786538 FJK786538 FTG786538 GDC786538 GMY786538 GWU786538 HGQ786538 HQM786538 IAI786538 IKE786538 IUA786538 JDW786538 JNS786538 JXO786538 KHK786538 KRG786538 LBC786538 LKY786538 LUU786538 MEQ786538 MOM786538 MYI786538 NIE786538 NSA786538 OBW786538 OLS786538 OVO786538 PFK786538 PPG786538 PZC786538 QIY786538 QSU786538 RCQ786538 RMM786538 RWI786538 SGE786538 SQA786538 SZW786538 TJS786538 TTO786538 UDK786538 UNG786538 UXC786538 VGY786538 VQU786538 WAQ786538 WKM786538 WUI786538 HW852074 RS852074 ABO852074 ALK852074 AVG852074 BFC852074 BOY852074 BYU852074 CIQ852074 CSM852074 DCI852074 DME852074 DWA852074 EFW852074 EPS852074 EZO852074 FJK852074 FTG852074 GDC852074 GMY852074 GWU852074 HGQ852074 HQM852074 IAI852074 IKE852074 IUA852074 JDW852074 JNS852074 JXO852074 KHK852074 KRG852074 LBC852074 LKY852074 LUU852074 MEQ852074 MOM852074 MYI852074 NIE852074 NSA852074 OBW852074 OLS852074 OVO852074 PFK852074 PPG852074 PZC852074 QIY852074 QSU852074 RCQ852074 RMM852074 RWI852074 SGE852074 SQA852074 SZW852074 TJS852074 TTO852074 UDK852074 UNG852074 UXC852074 VGY852074 VQU852074 WAQ852074 WKM852074 WUI852074 HW917610 RS917610 ABO917610 ALK917610 AVG917610 BFC917610 BOY917610 BYU917610 CIQ917610 CSM917610 DCI917610 DME917610 DWA917610 EFW917610 EPS917610 EZO917610 FJK917610 FTG917610 GDC917610 GMY917610 GWU917610 HGQ917610 HQM917610 IAI917610 IKE917610 IUA917610 JDW917610 JNS917610 JXO917610 KHK917610 KRG917610 LBC917610 LKY917610 LUU917610 MEQ917610 MOM917610 MYI917610 NIE917610 NSA917610 OBW917610 OLS917610 OVO917610 PFK917610 PPG917610 PZC917610 QIY917610 QSU917610 RCQ917610 RMM917610 RWI917610 SGE917610 SQA917610 SZW917610 TJS917610 TTO917610 UDK917610 UNG917610 UXC917610 VGY917610 VQU917610 WAQ917610 WKM917610 WUI917610 HW983146 RS983146 ABO983146 ALK983146 AVG983146 BFC983146 BOY983146 BYU983146 CIQ983146 CSM983146 DCI983146 DME983146 DWA983146 EFW983146 EPS983146 EZO983146 FJK983146 FTG983146 GDC983146 GMY983146 GWU983146 HGQ983146 HQM983146 IAI983146 IKE983146 IUA983146 JDW983146 JNS983146 JXO983146 KHK983146 KRG983146 LBC983146 LKY983146 LUU983146 MEQ983146 MOM983146 MYI983146 NIE983146 NSA983146 OBW983146 OLS983146 OVO983146 PFK983146 PPG983146 PZC983146 QIY983146 QSU983146 RCQ983146 RMM983146 RWI983146 SGE983146 SQA983146 SZW983146 TJS983146 TTO983146 UDK983146 UNG983146 UXC983146 VGY983146 VQU983146 WAQ983146 WKM983146 WUI983146 HW65653 RS65653 ABO65653 ALK65653 AVG65653 BFC65653 BOY65653 BYU65653 CIQ65653 CSM65653 DCI65653 DME65653 DWA65653 EFW65653 EPS65653 EZO65653 FJK65653 FTG65653 GDC65653 GMY65653 GWU65653 HGQ65653 HQM65653 IAI65653 IKE65653 IUA65653 JDW65653 JNS65653 JXO65653 KHK65653 KRG65653 LBC65653 LKY65653 LUU65653 MEQ65653 MOM65653 MYI65653 NIE65653 NSA65653 OBW65653 OLS65653 OVO65653 PFK65653 PPG65653 PZC65653 QIY65653 QSU65653 RCQ65653 RMM65653 RWI65653 SGE65653 SQA65653 SZW65653 TJS65653 TTO65653 UDK65653 UNG65653 UXC65653 VGY65653 VQU65653 WAQ65653 WKM65653 WUI65653 HW131189 RS131189 ABO131189 ALK131189 AVG131189 BFC131189 BOY131189 BYU131189 CIQ131189 CSM131189 DCI131189 DME131189 DWA131189 EFW131189 EPS131189 EZO131189 FJK131189 FTG131189 GDC131189 GMY131189 GWU131189 HGQ131189 HQM131189 IAI131189 IKE131189 IUA131189 JDW131189 JNS131189 JXO131189 KHK131189 KRG131189 LBC131189 LKY131189 LUU131189 MEQ131189 MOM131189 MYI131189 NIE131189 NSA131189 OBW131189 OLS131189 OVO131189 PFK131189 PPG131189 PZC131189 QIY131189 QSU131189 RCQ131189 RMM131189 RWI131189 SGE131189 SQA131189 SZW131189 TJS131189 TTO131189 UDK131189 UNG131189 UXC131189 VGY131189 VQU131189 WAQ131189 WKM131189 WUI131189 HW196725 RS196725 ABO196725 ALK196725 AVG196725 BFC196725 BOY196725 BYU196725 CIQ196725 CSM196725 DCI196725 DME196725 DWA196725 EFW196725 EPS196725 EZO196725 FJK196725 FTG196725 GDC196725 GMY196725 GWU196725 HGQ196725 HQM196725 IAI196725 IKE196725 IUA196725 JDW196725 JNS196725 JXO196725 KHK196725 KRG196725 LBC196725 LKY196725 LUU196725 MEQ196725 MOM196725 MYI196725 NIE196725 NSA196725 OBW196725 OLS196725 OVO196725 PFK196725 PPG196725 PZC196725 QIY196725 QSU196725 RCQ196725 RMM196725 RWI196725 SGE196725 SQA196725 SZW196725 TJS196725 TTO196725 UDK196725 UNG196725 UXC196725 VGY196725 VQU196725 WAQ196725 WKM196725 WUI196725 HW262261 RS262261 ABO262261 ALK262261 AVG262261 BFC262261 BOY262261 BYU262261 CIQ262261 CSM262261 DCI262261 DME262261 DWA262261 EFW262261 EPS262261 EZO262261 FJK262261 FTG262261 GDC262261 GMY262261 GWU262261 HGQ262261 HQM262261 IAI262261 IKE262261 IUA262261 JDW262261 JNS262261 JXO262261 KHK262261 KRG262261 LBC262261 LKY262261 LUU262261 MEQ262261 MOM262261 MYI262261 NIE262261 NSA262261 OBW262261 OLS262261 OVO262261 PFK262261 PPG262261 PZC262261 QIY262261 QSU262261 RCQ262261 RMM262261 RWI262261 SGE262261 SQA262261 SZW262261 TJS262261 TTO262261 UDK262261 UNG262261 UXC262261 VGY262261 VQU262261 WAQ262261 WKM262261 WUI262261 HW327797 RS327797 ABO327797 ALK327797 AVG327797 BFC327797 BOY327797 BYU327797 CIQ327797 CSM327797 DCI327797 DME327797 DWA327797 EFW327797 EPS327797 EZO327797 FJK327797 FTG327797 GDC327797 GMY327797 GWU327797 HGQ327797 HQM327797 IAI327797 IKE327797 IUA327797 JDW327797 JNS327797 JXO327797 KHK327797 KRG327797 LBC327797 LKY327797 LUU327797 MEQ327797 MOM327797 MYI327797 NIE327797 NSA327797 OBW327797 OLS327797 OVO327797 PFK327797 PPG327797 PZC327797 QIY327797 QSU327797 RCQ327797 RMM327797 RWI327797 SGE327797 SQA327797 SZW327797 TJS327797 TTO327797 UDK327797 UNG327797 UXC327797 VGY327797 VQU327797 WAQ327797 WKM327797 WUI327797 HW393333 RS393333 ABO393333 ALK393333 AVG393333 BFC393333 BOY393333 BYU393333 CIQ393333 CSM393333 DCI393333 DME393333 DWA393333 EFW393333 EPS393333 EZO393333 FJK393333 FTG393333 GDC393333 GMY393333 GWU393333 HGQ393333 HQM393333 IAI393333 IKE393333 IUA393333 JDW393333 JNS393333 JXO393333 KHK393333 KRG393333 LBC393333 LKY393333 LUU393333 MEQ393333 MOM393333 MYI393333 NIE393333 NSA393333 OBW393333 OLS393333 OVO393333 PFK393333 PPG393333 PZC393333 QIY393333 QSU393333 RCQ393333 RMM393333 RWI393333 SGE393333 SQA393333 SZW393333 TJS393333 TTO393333 UDK393333 UNG393333 UXC393333 VGY393333 VQU393333 WAQ393333 WKM393333 WUI393333 HW458869 RS458869 ABO458869 ALK458869 AVG458869 BFC458869 BOY458869 BYU458869 CIQ458869 CSM458869 DCI458869 DME458869 DWA458869 EFW458869 EPS458869 EZO458869 FJK458869 FTG458869 GDC458869 GMY458869 GWU458869 HGQ458869 HQM458869 IAI458869 IKE458869 IUA458869 JDW458869 JNS458869 JXO458869 KHK458869 KRG458869 LBC458869 LKY458869 LUU458869 MEQ458869 MOM458869 MYI458869 NIE458869 NSA458869 OBW458869 OLS458869 OVO458869 PFK458869 PPG458869 PZC458869 QIY458869 QSU458869 RCQ458869 RMM458869 RWI458869 SGE458869 SQA458869 SZW458869 TJS458869 TTO458869 UDK458869 UNG458869 UXC458869 VGY458869 VQU458869 WAQ458869 WKM458869 WUI458869 HW524405 RS524405 ABO524405 ALK524405 AVG524405 BFC524405 BOY524405 BYU524405 CIQ524405 CSM524405 DCI524405 DME524405 DWA524405 EFW524405 EPS524405 EZO524405 FJK524405 FTG524405 GDC524405 GMY524405 GWU524405 HGQ524405 HQM524405 IAI524405 IKE524405 IUA524405 JDW524405 JNS524405 JXO524405 KHK524405 KRG524405 LBC524405 LKY524405 LUU524405 MEQ524405 MOM524405 MYI524405 NIE524405 NSA524405 OBW524405 OLS524405 OVO524405 PFK524405 PPG524405 PZC524405 QIY524405 QSU524405 RCQ524405 RMM524405 RWI524405 SGE524405 SQA524405 SZW524405 TJS524405 TTO524405 UDK524405 UNG524405 UXC524405 VGY524405 VQU524405 WAQ524405 WKM524405 WUI524405 HW589941 RS589941 ABO589941 ALK589941 AVG589941 BFC589941 BOY589941 BYU589941 CIQ589941 CSM589941 DCI589941 DME589941 DWA589941 EFW589941 EPS589941 EZO589941 FJK589941 FTG589941 GDC589941 GMY589941 GWU589941 HGQ589941 HQM589941 IAI589941 IKE589941 IUA589941 JDW589941 JNS589941 JXO589941 KHK589941 KRG589941 LBC589941 LKY589941 LUU589941 MEQ589941 MOM589941 MYI589941 NIE589941 NSA589941 OBW589941 OLS589941 OVO589941 PFK589941 PPG589941 PZC589941 QIY589941 QSU589941 RCQ589941 RMM589941 RWI589941 SGE589941 SQA589941 SZW589941 TJS589941 TTO589941 UDK589941 UNG589941 UXC589941 VGY589941 VQU589941 WAQ589941 WKM589941 WUI589941 HW655477 RS655477 ABO655477 ALK655477 AVG655477 BFC655477 BOY655477 BYU655477 CIQ655477 CSM655477 DCI655477 DME655477 DWA655477 EFW655477 EPS655477 EZO655477 FJK655477 FTG655477 GDC655477 GMY655477 GWU655477 HGQ655477 HQM655477 IAI655477 IKE655477 IUA655477 JDW655477 JNS655477 JXO655477 KHK655477 KRG655477 LBC655477 LKY655477 LUU655477 MEQ655477 MOM655477 MYI655477 NIE655477 NSA655477 OBW655477 OLS655477 OVO655477 PFK655477 PPG655477 PZC655477 QIY655477 QSU655477 RCQ655477 RMM655477 RWI655477 SGE655477 SQA655477 SZW655477 TJS655477 TTO655477 UDK655477 UNG655477 UXC655477 VGY655477 VQU655477 WAQ655477 WKM655477 WUI655477 HW721013 RS721013 ABO721013 ALK721013 AVG721013 BFC721013 BOY721013 BYU721013 CIQ721013 CSM721013 DCI721013 DME721013 DWA721013 EFW721013 EPS721013 EZO721013 FJK721013 FTG721013 GDC721013 GMY721013 GWU721013 HGQ721013 HQM721013 IAI721013 IKE721013 IUA721013 JDW721013 JNS721013 JXO721013 KHK721013 KRG721013 LBC721013 LKY721013 LUU721013 MEQ721013 MOM721013 MYI721013 NIE721013 NSA721013 OBW721013 OLS721013 OVO721013 PFK721013 PPG721013 PZC721013 QIY721013 QSU721013 RCQ721013 RMM721013 RWI721013 SGE721013 SQA721013 SZW721013 TJS721013 TTO721013 UDK721013 UNG721013 UXC721013 VGY721013 VQU721013 WAQ721013 WKM721013 WUI721013 HW786549 RS786549 ABO786549 ALK786549 AVG786549 BFC786549 BOY786549 BYU786549 CIQ786549 CSM786549 DCI786549 DME786549 DWA786549 EFW786549 EPS786549 EZO786549 FJK786549 FTG786549 GDC786549 GMY786549 GWU786549 HGQ786549 HQM786549 IAI786549 IKE786549 IUA786549 JDW786549 JNS786549 JXO786549 KHK786549 KRG786549 LBC786549 LKY786549 LUU786549 MEQ786549 MOM786549 MYI786549 NIE786549 NSA786549 OBW786549 OLS786549 OVO786549 PFK786549 PPG786549 PZC786549 QIY786549 QSU786549 RCQ786549 RMM786549 RWI786549 SGE786549 SQA786549 SZW786549 TJS786549 TTO786549 UDK786549 UNG786549 UXC786549 VGY786549 VQU786549 WAQ786549 WKM786549 WUI786549 HW852085 RS852085 ABO852085 ALK852085 AVG852085 BFC852085 BOY852085 BYU852085 CIQ852085 CSM852085 DCI852085 DME852085 DWA852085 EFW852085 EPS852085 EZO852085 FJK852085 FTG852085 GDC852085 GMY852085 GWU852085 HGQ852085 HQM852085 IAI852085 IKE852085 IUA852085 JDW852085 JNS852085 JXO852085 KHK852085 KRG852085 LBC852085 LKY852085 LUU852085 MEQ852085 MOM852085 MYI852085 NIE852085 NSA852085 OBW852085 OLS852085 OVO852085 PFK852085 PPG852085 PZC852085 QIY852085 QSU852085 RCQ852085 RMM852085 RWI852085 SGE852085 SQA852085 SZW852085 TJS852085 TTO852085 UDK852085 UNG852085 UXC852085 VGY852085 VQU852085 WAQ852085 WKM852085 WUI852085 HW917621 RS917621 ABO917621 ALK917621 AVG917621 BFC917621 BOY917621 BYU917621 CIQ917621 CSM917621 DCI917621 DME917621 DWA917621 EFW917621 EPS917621 EZO917621 FJK917621 FTG917621 GDC917621 GMY917621 GWU917621 HGQ917621 HQM917621 IAI917621 IKE917621 IUA917621 JDW917621 JNS917621 JXO917621 KHK917621 KRG917621 LBC917621 LKY917621 LUU917621 MEQ917621 MOM917621 MYI917621 NIE917621 NSA917621 OBW917621 OLS917621 OVO917621 PFK917621 PPG917621 PZC917621 QIY917621 QSU917621 RCQ917621 RMM917621 RWI917621 SGE917621 SQA917621 SZW917621 TJS917621 TTO917621 UDK917621 UNG917621 UXC917621 VGY917621 VQU917621 WAQ917621 WKM917621 WUI917621 HW983157 RS983157 ABO983157 ALK983157 AVG983157 BFC983157 BOY983157 BYU983157 CIQ983157 CSM983157 DCI983157 DME983157 DWA983157 EFW983157 EPS983157 EZO983157 FJK983157 FTG983157 GDC983157 GMY983157 GWU983157 HGQ983157 HQM983157 IAI983157 IKE983157 IUA983157 JDW983157 JNS983157 JXO983157 KHK983157 KRG983157 LBC983157 LKY983157 LUU983157 MEQ983157 MOM983157 MYI983157 NIE983157 NSA983157 OBW983157 OLS983157 OVO983157 PFK983157 PPG983157 PZC983157 QIY983157 QSU983157 RCQ983157 RMM983157 RWI983157 SGE983157 SQA983157 SZW983157 TJS983157 TTO983157 UDK983157 UNG983157 UXC983157 VGY983157 VQU983157 WAQ983157 WKM983157 WUI983157 HW65648 RS65648 ABO65648 ALK65648 AVG65648 BFC65648 BOY65648 BYU65648 CIQ65648 CSM65648 DCI65648 DME65648 DWA65648 EFW65648 EPS65648 EZO65648 FJK65648 FTG65648 GDC65648 GMY65648 GWU65648 HGQ65648 HQM65648 IAI65648 IKE65648 IUA65648 JDW65648 JNS65648 JXO65648 KHK65648 KRG65648 LBC65648 LKY65648 LUU65648 MEQ65648 MOM65648 MYI65648 NIE65648 NSA65648 OBW65648 OLS65648 OVO65648 PFK65648 PPG65648 PZC65648 QIY65648 QSU65648 RCQ65648 RMM65648 RWI65648 SGE65648 SQA65648 SZW65648 TJS65648 TTO65648 UDK65648 UNG65648 UXC65648 VGY65648 VQU65648 WAQ65648 WKM65648 WUI65648 HW131184 RS131184 ABO131184 ALK131184 AVG131184 BFC131184 BOY131184 BYU131184 CIQ131184 CSM131184 DCI131184 DME131184 DWA131184 EFW131184 EPS131184 EZO131184 FJK131184 FTG131184 GDC131184 GMY131184 GWU131184 HGQ131184 HQM131184 IAI131184 IKE131184 IUA131184 JDW131184 JNS131184 JXO131184 KHK131184 KRG131184 LBC131184 LKY131184 LUU131184 MEQ131184 MOM131184 MYI131184 NIE131184 NSA131184 OBW131184 OLS131184 OVO131184 PFK131184 PPG131184 PZC131184 QIY131184 QSU131184 RCQ131184 RMM131184 RWI131184 SGE131184 SQA131184 SZW131184 TJS131184 TTO131184 UDK131184 UNG131184 UXC131184 VGY131184 VQU131184 WAQ131184 WKM131184 WUI131184 HW196720 RS196720 ABO196720 ALK196720 AVG196720 BFC196720 BOY196720 BYU196720 CIQ196720 CSM196720 DCI196720 DME196720 DWA196720 EFW196720 EPS196720 EZO196720 FJK196720 FTG196720 GDC196720 GMY196720 GWU196720 HGQ196720 HQM196720 IAI196720 IKE196720 IUA196720 JDW196720 JNS196720 JXO196720 KHK196720 KRG196720 LBC196720 LKY196720 LUU196720 MEQ196720 MOM196720 MYI196720 NIE196720 NSA196720 OBW196720 OLS196720 OVO196720 PFK196720 PPG196720 PZC196720 QIY196720 QSU196720 RCQ196720 RMM196720 RWI196720 SGE196720 SQA196720 SZW196720 TJS196720 TTO196720 UDK196720 UNG196720 UXC196720 VGY196720 VQU196720 WAQ196720 WKM196720 WUI196720 HW262256 RS262256 ABO262256 ALK262256 AVG262256 BFC262256 BOY262256 BYU262256 CIQ262256 CSM262256 DCI262256 DME262256 DWA262256 EFW262256 EPS262256 EZO262256 FJK262256 FTG262256 GDC262256 GMY262256 GWU262256 HGQ262256 HQM262256 IAI262256 IKE262256 IUA262256 JDW262256 JNS262256 JXO262256 KHK262256 KRG262256 LBC262256 LKY262256 LUU262256 MEQ262256 MOM262256 MYI262256 NIE262256 NSA262256 OBW262256 OLS262256 OVO262256 PFK262256 PPG262256 PZC262256 QIY262256 QSU262256 RCQ262256 RMM262256 RWI262256 SGE262256 SQA262256 SZW262256 TJS262256 TTO262256 UDK262256 UNG262256 UXC262256 VGY262256 VQU262256 WAQ262256 WKM262256 WUI262256 HW327792 RS327792 ABO327792 ALK327792 AVG327792 BFC327792 BOY327792 BYU327792 CIQ327792 CSM327792 DCI327792 DME327792 DWA327792 EFW327792 EPS327792 EZO327792 FJK327792 FTG327792 GDC327792 GMY327792 GWU327792 HGQ327792 HQM327792 IAI327792 IKE327792 IUA327792 JDW327792 JNS327792 JXO327792 KHK327792 KRG327792 LBC327792 LKY327792 LUU327792 MEQ327792 MOM327792 MYI327792 NIE327792 NSA327792 OBW327792 OLS327792 OVO327792 PFK327792 PPG327792 PZC327792 QIY327792 QSU327792 RCQ327792 RMM327792 RWI327792 SGE327792 SQA327792 SZW327792 TJS327792 TTO327792 UDK327792 UNG327792 UXC327792 VGY327792 VQU327792 WAQ327792 WKM327792 WUI327792 HW393328 RS393328 ABO393328 ALK393328 AVG393328 BFC393328 BOY393328 BYU393328 CIQ393328 CSM393328 DCI393328 DME393328 DWA393328 EFW393328 EPS393328 EZO393328 FJK393328 FTG393328 GDC393328 GMY393328 GWU393328 HGQ393328 HQM393328 IAI393328 IKE393328 IUA393328 JDW393328 JNS393328 JXO393328 KHK393328 KRG393328 LBC393328 LKY393328 LUU393328 MEQ393328 MOM393328 MYI393328 NIE393328 NSA393328 OBW393328 OLS393328 OVO393328 PFK393328 PPG393328 PZC393328 QIY393328 QSU393328 RCQ393328 RMM393328 RWI393328 SGE393328 SQA393328 SZW393328 TJS393328 TTO393328 UDK393328 UNG393328 UXC393328 VGY393328 VQU393328 WAQ393328 WKM393328 WUI393328 HW458864 RS458864 ABO458864 ALK458864 AVG458864 BFC458864 BOY458864 BYU458864 CIQ458864 CSM458864 DCI458864 DME458864 DWA458864 EFW458864 EPS458864 EZO458864 FJK458864 FTG458864 GDC458864 GMY458864 GWU458864 HGQ458864 HQM458864 IAI458864 IKE458864 IUA458864 JDW458864 JNS458864 JXO458864 KHK458864 KRG458864 LBC458864 LKY458864 LUU458864 MEQ458864 MOM458864 MYI458864 NIE458864 NSA458864 OBW458864 OLS458864 OVO458864 PFK458864 PPG458864 PZC458864 QIY458864 QSU458864 RCQ458864 RMM458864 RWI458864 SGE458864 SQA458864 SZW458864 TJS458864 TTO458864 UDK458864 UNG458864 UXC458864 VGY458864 VQU458864 WAQ458864 WKM458864 WUI458864 HW524400 RS524400 ABO524400 ALK524400 AVG524400 BFC524400 BOY524400 BYU524400 CIQ524400 CSM524400 DCI524400 DME524400 DWA524400 EFW524400 EPS524400 EZO524400 FJK524400 FTG524400 GDC524400 GMY524400 GWU524400 HGQ524400 HQM524400 IAI524400 IKE524400 IUA524400 JDW524400 JNS524400 JXO524400 KHK524400 KRG524400 LBC524400 LKY524400 LUU524400 MEQ524400 MOM524400 MYI524400 NIE524400 NSA524400 OBW524400 OLS524400 OVO524400 PFK524400 PPG524400 PZC524400 QIY524400 QSU524400 RCQ524400 RMM524400 RWI524400 SGE524400 SQA524400 SZW524400 TJS524400 TTO524400 UDK524400 UNG524400 UXC524400 VGY524400 VQU524400 WAQ524400 WKM524400 WUI524400 HW589936 RS589936 ABO589936 ALK589936 AVG589936 BFC589936 BOY589936 BYU589936 CIQ589936 CSM589936 DCI589936 DME589936 DWA589936 EFW589936 EPS589936 EZO589936 FJK589936 FTG589936 GDC589936 GMY589936 GWU589936 HGQ589936 HQM589936 IAI589936 IKE589936 IUA589936 JDW589936 JNS589936 JXO589936 KHK589936 KRG589936 LBC589936 LKY589936 LUU589936 MEQ589936 MOM589936 MYI589936 NIE589936 NSA589936 OBW589936 OLS589936 OVO589936 PFK589936 PPG589936 PZC589936 QIY589936 QSU589936 RCQ589936 RMM589936 RWI589936 SGE589936 SQA589936 SZW589936 TJS589936 TTO589936 UDK589936 UNG589936 UXC589936 VGY589936 VQU589936 WAQ589936 WKM589936 WUI589936 HW655472 RS655472 ABO655472 ALK655472 AVG655472 BFC655472 BOY655472 BYU655472 CIQ655472 CSM655472 DCI655472 DME655472 DWA655472 EFW655472 EPS655472 EZO655472 FJK655472 FTG655472 GDC655472 GMY655472 GWU655472 HGQ655472 HQM655472 IAI655472 IKE655472 IUA655472 JDW655472 JNS655472 JXO655472 KHK655472 KRG655472 LBC655472 LKY655472 LUU655472 MEQ655472 MOM655472 MYI655472 NIE655472 NSA655472 OBW655472 OLS655472 OVO655472 PFK655472 PPG655472 PZC655472 QIY655472 QSU655472 RCQ655472 RMM655472 RWI655472 SGE655472 SQA655472 SZW655472 TJS655472 TTO655472 UDK655472 UNG655472 UXC655472 VGY655472 VQU655472 WAQ655472 WKM655472 WUI655472 HW721008 RS721008 ABO721008 ALK721008 AVG721008 BFC721008 BOY721008 BYU721008 CIQ721008 CSM721008 DCI721008 DME721008 DWA721008 EFW721008 EPS721008 EZO721008 FJK721008 FTG721008 GDC721008 GMY721008 GWU721008 HGQ721008 HQM721008 IAI721008 IKE721008 IUA721008 JDW721008 JNS721008 JXO721008 KHK721008 KRG721008 LBC721008 LKY721008 LUU721008 MEQ721008 MOM721008 MYI721008 NIE721008 NSA721008 OBW721008 OLS721008 OVO721008 PFK721008 PPG721008 PZC721008 QIY721008 QSU721008 RCQ721008 RMM721008 RWI721008 SGE721008 SQA721008 SZW721008 TJS721008 TTO721008 UDK721008 UNG721008 UXC721008 VGY721008 VQU721008 WAQ721008 WKM721008 WUI721008 HW786544 RS786544 ABO786544 ALK786544 AVG786544 BFC786544 BOY786544 BYU786544 CIQ786544 CSM786544 DCI786544 DME786544 DWA786544 EFW786544 EPS786544 EZO786544 FJK786544 FTG786544 GDC786544 GMY786544 GWU786544 HGQ786544 HQM786544 IAI786544 IKE786544 IUA786544 JDW786544 JNS786544 JXO786544 KHK786544 KRG786544 LBC786544 LKY786544 LUU786544 MEQ786544 MOM786544 MYI786544 NIE786544 NSA786544 OBW786544 OLS786544 OVO786544 PFK786544 PPG786544 PZC786544 QIY786544 QSU786544 RCQ786544 RMM786544 RWI786544 SGE786544 SQA786544 SZW786544 TJS786544 TTO786544 UDK786544 UNG786544 UXC786544 VGY786544 VQU786544 WAQ786544 WKM786544 WUI786544 HW852080 RS852080 ABO852080 ALK852080 AVG852080 BFC852080 BOY852080 BYU852080 CIQ852080 CSM852080 DCI852080 DME852080 DWA852080 EFW852080 EPS852080 EZO852080 FJK852080 FTG852080 GDC852080 GMY852080 GWU852080 HGQ852080 HQM852080 IAI852080 IKE852080 IUA852080 JDW852080 JNS852080 JXO852080 KHK852080 KRG852080 LBC852080 LKY852080 LUU852080 MEQ852080 MOM852080 MYI852080 NIE852080 NSA852080 OBW852080 OLS852080 OVO852080 PFK852080 PPG852080 PZC852080 QIY852080 QSU852080 RCQ852080 RMM852080 RWI852080 SGE852080 SQA852080 SZW852080 TJS852080 TTO852080 UDK852080 UNG852080 UXC852080 VGY852080 VQU852080 WAQ852080 WKM852080 WUI852080 HW917616 RS917616 ABO917616 ALK917616 AVG917616 BFC917616 BOY917616 BYU917616 CIQ917616 CSM917616 DCI917616 DME917616 DWA917616 EFW917616 EPS917616 EZO917616 FJK917616 FTG917616 GDC917616 GMY917616 GWU917616 HGQ917616 HQM917616 IAI917616 IKE917616 IUA917616 JDW917616 JNS917616 JXO917616 KHK917616 KRG917616 LBC917616 LKY917616 LUU917616 MEQ917616 MOM917616 MYI917616 NIE917616 NSA917616 OBW917616 OLS917616 OVO917616 PFK917616 PPG917616 PZC917616 QIY917616 QSU917616 RCQ917616 RMM917616 RWI917616 SGE917616 SQA917616 SZW917616 TJS917616 TTO917616 UDK917616 UNG917616 UXC917616 VGY917616 VQU917616 WAQ917616 WKM917616 WUI917616 HW983152 RS983152 ABO983152 ALK983152 AVG983152 BFC983152 BOY983152 BYU983152 CIQ983152 CSM983152 DCI983152 DME983152 DWA983152 EFW983152 EPS983152 EZO983152 FJK983152 FTG983152 GDC983152 GMY983152 GWU983152 HGQ983152 HQM983152 IAI983152 IKE983152 IUA983152 JDW983152 JNS983152 JXO983152 KHK983152 KRG983152 LBC983152 LKY983152 LUU983152 MEQ983152 MOM983152 MYI983152 NIE983152 NSA983152 OBW983152 OLS983152 OVO983152 PFK983152 PPG983152 PZC983152 QIY983152 QSU983152 RCQ983152 RMM983152 RWI983152 SGE983152 SQA983152 SZW983152 TJS983152 TTO983152 UDK983152 UNG983152 UXC983152 VGY983152 VQU983152 WAQ983152 WKM983152 WUI983152 E983152 E917616 E852080 E786544 E721008 E655472 E589936 E524400 E458864 E393328 E327792 E262256 E196720 E131184 E65648 E983157 E917621 E852085 E786549 E721013 E655477 E589941 E524405 E458869 E393333 E327797 E262261 E196725 E131189 E65653 E983146 E917610 E852074 E786538 E721002 E655466 E589930 E524394 E458858 E393322 E327786 E262250 E196714 E131178" xr:uid="{00000000-0002-0000-0400-000000000000}">
      <formula1>"Yes,No"</formula1>
    </dataValidation>
  </dataValidations>
  <pageMargins left="0.7" right="0.7" top="0.75" bottom="0.75" header="0.3" footer="0.3"/>
  <pageSetup orientation="portrait" horizontalDpi="4294967293" r:id="rId1"/>
  <ignoredErrors>
    <ignoredError sqref="E117 G213"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N159"/>
  <sheetViews>
    <sheetView showGridLines="0" zoomScale="70" zoomScaleNormal="70" workbookViewId="0">
      <pane xSplit="1" ySplit="3" topLeftCell="B4" activePane="bottomRight" state="frozen"/>
      <selection pane="topRight" activeCell="B1" sqref="B1"/>
      <selection pane="bottomLeft" activeCell="A4" sqref="A4"/>
      <selection pane="bottomRight" activeCell="D129" sqref="D129"/>
    </sheetView>
  </sheetViews>
  <sheetFormatPr baseColWidth="10" defaultColWidth="9.6640625" defaultRowHeight="15"/>
  <cols>
    <col min="1" max="1" width="2.6640625" customWidth="1"/>
    <col min="2" max="2" width="69.6640625" customWidth="1"/>
    <col min="3" max="4" width="15.6640625" customWidth="1"/>
    <col min="5" max="5" width="48.1640625" customWidth="1"/>
    <col min="6" max="7" width="13.6640625" customWidth="1"/>
    <col min="8" max="11" width="25.83203125" customWidth="1"/>
    <col min="12" max="14" width="13.6640625" customWidth="1"/>
  </cols>
  <sheetData>
    <row r="1" spans="2:11" ht="16" thickBot="1">
      <c r="D1" s="65"/>
      <c r="F1" s="66"/>
    </row>
    <row r="2" spans="2:11" ht="30" customHeight="1" thickBot="1">
      <c r="B2" s="93" t="s">
        <v>212</v>
      </c>
      <c r="C2" s="69"/>
      <c r="D2" s="94"/>
      <c r="E2" s="70"/>
      <c r="F2" s="66"/>
      <c r="G2" s="328"/>
      <c r="H2" s="328"/>
      <c r="I2" s="328"/>
      <c r="J2" s="328"/>
      <c r="K2" s="328"/>
    </row>
    <row r="3" spans="2:11" ht="19" thickBot="1">
      <c r="B3" s="95" t="s">
        <v>430</v>
      </c>
      <c r="C3" s="96"/>
      <c r="D3" s="97"/>
      <c r="E3" s="104"/>
      <c r="F3" s="66"/>
      <c r="G3" s="328"/>
      <c r="H3" s="328"/>
      <c r="I3" s="328"/>
      <c r="J3" s="328"/>
      <c r="K3" s="328"/>
    </row>
    <row r="4" spans="2:11" ht="16" thickBot="1">
      <c r="D4" s="65"/>
      <c r="F4" s="66"/>
    </row>
    <row r="5" spans="2:11" ht="35" thickBot="1">
      <c r="B5" s="118" t="str">
        <f>Inputs!E24</f>
        <v>Generation Equipment</v>
      </c>
      <c r="C5" s="108" t="s">
        <v>0</v>
      </c>
      <c r="D5" s="109" t="s">
        <v>92</v>
      </c>
      <c r="E5" s="99" t="s">
        <v>160</v>
      </c>
    </row>
    <row r="6" spans="2:11" ht="16">
      <c r="B6" s="727" t="s">
        <v>93</v>
      </c>
      <c r="C6" s="728">
        <v>0</v>
      </c>
      <c r="D6" s="141">
        <v>1</v>
      </c>
      <c r="E6" s="317" t="s">
        <v>19</v>
      </c>
    </row>
    <row r="7" spans="2:11" ht="16">
      <c r="B7" s="727" t="s">
        <v>93</v>
      </c>
      <c r="C7" s="728">
        <v>0</v>
      </c>
      <c r="D7" s="141">
        <v>1</v>
      </c>
      <c r="E7" s="317" t="s">
        <v>19</v>
      </c>
    </row>
    <row r="8" spans="2:11" ht="16">
      <c r="B8" s="727" t="s">
        <v>93</v>
      </c>
      <c r="C8" s="728">
        <v>0</v>
      </c>
      <c r="D8" s="141">
        <v>1</v>
      </c>
      <c r="E8" s="317" t="s">
        <v>19</v>
      </c>
    </row>
    <row r="9" spans="2:11" ht="16">
      <c r="B9" s="727" t="s">
        <v>93</v>
      </c>
      <c r="C9" s="728">
        <v>0</v>
      </c>
      <c r="D9" s="141">
        <v>1</v>
      </c>
      <c r="E9" s="317" t="s">
        <v>19</v>
      </c>
    </row>
    <row r="10" spans="2:11" ht="16">
      <c r="B10" s="727" t="s">
        <v>93</v>
      </c>
      <c r="C10" s="728">
        <v>0</v>
      </c>
      <c r="D10" s="141">
        <v>1</v>
      </c>
      <c r="E10" s="317" t="s">
        <v>19</v>
      </c>
    </row>
    <row r="11" spans="2:11" ht="16">
      <c r="B11" s="727" t="s">
        <v>93</v>
      </c>
      <c r="C11" s="728">
        <v>0</v>
      </c>
      <c r="D11" s="141">
        <v>1</v>
      </c>
      <c r="E11" s="317" t="s">
        <v>19</v>
      </c>
    </row>
    <row r="12" spans="2:11" ht="16">
      <c r="B12" s="727" t="s">
        <v>93</v>
      </c>
      <c r="C12" s="728">
        <v>0</v>
      </c>
      <c r="D12" s="141">
        <v>1</v>
      </c>
      <c r="E12" s="317" t="s">
        <v>19</v>
      </c>
    </row>
    <row r="13" spans="2:11" ht="16">
      <c r="B13" s="727" t="s">
        <v>93</v>
      </c>
      <c r="C13" s="728">
        <v>0</v>
      </c>
      <c r="D13" s="141">
        <v>1</v>
      </c>
      <c r="E13" s="317" t="s">
        <v>19</v>
      </c>
    </row>
    <row r="14" spans="2:11" ht="16">
      <c r="B14" s="727" t="s">
        <v>93</v>
      </c>
      <c r="C14" s="728">
        <v>0</v>
      </c>
      <c r="D14" s="141">
        <v>1</v>
      </c>
      <c r="E14" s="317" t="s">
        <v>19</v>
      </c>
    </row>
    <row r="15" spans="2:11" ht="16">
      <c r="B15" s="142" t="s">
        <v>93</v>
      </c>
      <c r="C15" s="143">
        <v>0</v>
      </c>
      <c r="D15" s="141">
        <v>1</v>
      </c>
      <c r="E15" s="317" t="s">
        <v>19</v>
      </c>
    </row>
    <row r="16" spans="2:11" ht="16">
      <c r="B16" s="142" t="s">
        <v>93</v>
      </c>
      <c r="C16" s="143">
        <v>0</v>
      </c>
      <c r="D16" s="141">
        <v>1</v>
      </c>
      <c r="E16" s="317" t="s">
        <v>19</v>
      </c>
    </row>
    <row r="17" spans="2:5" ht="16">
      <c r="B17" s="142" t="s">
        <v>93</v>
      </c>
      <c r="C17" s="143">
        <v>0</v>
      </c>
      <c r="D17" s="141">
        <v>1</v>
      </c>
      <c r="E17" s="317" t="s">
        <v>19</v>
      </c>
    </row>
    <row r="18" spans="2:5" ht="16">
      <c r="B18" s="142" t="s">
        <v>93</v>
      </c>
      <c r="C18" s="143">
        <v>0</v>
      </c>
      <c r="D18" s="141">
        <v>1</v>
      </c>
      <c r="E18" s="317" t="s">
        <v>19</v>
      </c>
    </row>
    <row r="19" spans="2:5" ht="16">
      <c r="B19" s="142" t="s">
        <v>93</v>
      </c>
      <c r="C19" s="143">
        <v>0</v>
      </c>
      <c r="D19" s="141">
        <v>1</v>
      </c>
      <c r="E19" s="317" t="s">
        <v>19</v>
      </c>
    </row>
    <row r="20" spans="2:5" ht="16">
      <c r="B20" s="142" t="s">
        <v>93</v>
      </c>
      <c r="C20" s="143">
        <v>0</v>
      </c>
      <c r="D20" s="141">
        <v>1</v>
      </c>
      <c r="E20" s="317" t="s">
        <v>19</v>
      </c>
    </row>
    <row r="21" spans="2:5" ht="16">
      <c r="B21" s="142" t="s">
        <v>93</v>
      </c>
      <c r="C21" s="143">
        <v>0</v>
      </c>
      <c r="D21" s="141">
        <v>1</v>
      </c>
      <c r="E21" s="317" t="s">
        <v>19</v>
      </c>
    </row>
    <row r="22" spans="2:5" ht="16">
      <c r="B22" s="142" t="s">
        <v>93</v>
      </c>
      <c r="C22" s="143">
        <v>0</v>
      </c>
      <c r="D22" s="141">
        <v>1</v>
      </c>
      <c r="E22" s="317" t="s">
        <v>19</v>
      </c>
    </row>
    <row r="23" spans="2:5" ht="16">
      <c r="B23" s="142" t="s">
        <v>93</v>
      </c>
      <c r="C23" s="143">
        <v>0</v>
      </c>
      <c r="D23" s="141">
        <v>1</v>
      </c>
      <c r="E23" s="317" t="s">
        <v>19</v>
      </c>
    </row>
    <row r="24" spans="2:5" ht="16">
      <c r="B24" s="142" t="s">
        <v>93</v>
      </c>
      <c r="C24" s="143">
        <v>0</v>
      </c>
      <c r="D24" s="141">
        <v>1</v>
      </c>
      <c r="E24" s="317" t="s">
        <v>19</v>
      </c>
    </row>
    <row r="25" spans="2:5" ht="17" thickBot="1">
      <c r="B25" s="144" t="s">
        <v>93</v>
      </c>
      <c r="C25" s="145">
        <v>0</v>
      </c>
      <c r="D25" s="146">
        <v>1</v>
      </c>
      <c r="E25" s="317" t="s">
        <v>19</v>
      </c>
    </row>
    <row r="26" spans="2:5" ht="30" customHeight="1" thickTop="1">
      <c r="B26" s="105" t="s">
        <v>164</v>
      </c>
      <c r="C26" s="106">
        <f>SUM(C6:C25)</f>
        <v>0</v>
      </c>
      <c r="D26" s="77" t="e">
        <f>SUMPRODUCT(C6:C25,D6:D25)/C26</f>
        <v>#DIV/0!</v>
      </c>
      <c r="E26" s="107"/>
    </row>
    <row r="27" spans="2:5" ht="16.5" customHeight="1">
      <c r="B27" s="113"/>
      <c r="C27" s="114"/>
      <c r="D27" s="100"/>
      <c r="E27" s="25"/>
    </row>
    <row r="28" spans="2:5" ht="30" customHeight="1">
      <c r="B28" s="74" t="s">
        <v>94</v>
      </c>
      <c r="C28" s="114"/>
      <c r="D28" s="100"/>
      <c r="E28" s="25"/>
    </row>
    <row r="29" spans="2:5" s="14" customFormat="1" ht="17" thickBot="1">
      <c r="B29" s="115"/>
      <c r="C29" s="116"/>
      <c r="D29" s="117"/>
      <c r="E29" s="112"/>
    </row>
    <row r="30" spans="2:5" ht="30" customHeight="1" thickBot="1">
      <c r="B30" s="118" t="str">
        <f>Inputs!E25</f>
        <v>Balance of Plant</v>
      </c>
      <c r="C30" s="108" t="s">
        <v>0</v>
      </c>
      <c r="D30" s="109" t="s">
        <v>92</v>
      </c>
      <c r="E30" s="99" t="s">
        <v>160</v>
      </c>
    </row>
    <row r="31" spans="2:5" ht="16">
      <c r="B31" s="727" t="s">
        <v>93</v>
      </c>
      <c r="C31" s="728">
        <v>0</v>
      </c>
      <c r="D31" s="141">
        <v>1</v>
      </c>
      <c r="E31" s="317" t="s">
        <v>19</v>
      </c>
    </row>
    <row r="32" spans="2:5" ht="16">
      <c r="B32" s="727" t="s">
        <v>93</v>
      </c>
      <c r="C32" s="728">
        <v>0</v>
      </c>
      <c r="D32" s="729">
        <v>1</v>
      </c>
      <c r="E32" s="730" t="s">
        <v>19</v>
      </c>
    </row>
    <row r="33" spans="2:5" ht="16">
      <c r="B33" s="727" t="s">
        <v>93</v>
      </c>
      <c r="C33" s="728">
        <v>0</v>
      </c>
      <c r="D33" s="729">
        <v>1</v>
      </c>
      <c r="E33" s="730" t="s">
        <v>19</v>
      </c>
    </row>
    <row r="34" spans="2:5" ht="16">
      <c r="B34" s="727" t="s">
        <v>93</v>
      </c>
      <c r="C34" s="728">
        <v>0</v>
      </c>
      <c r="D34" s="729">
        <v>1</v>
      </c>
      <c r="E34" s="730" t="s">
        <v>19</v>
      </c>
    </row>
    <row r="35" spans="2:5" ht="16">
      <c r="B35" s="727" t="s">
        <v>93</v>
      </c>
      <c r="C35" s="728">
        <v>0</v>
      </c>
      <c r="D35" s="729">
        <v>1</v>
      </c>
      <c r="E35" s="317" t="s">
        <v>19</v>
      </c>
    </row>
    <row r="36" spans="2:5" ht="16">
      <c r="B36" s="727" t="s">
        <v>93</v>
      </c>
      <c r="C36" s="728">
        <v>0</v>
      </c>
      <c r="D36" s="729">
        <v>1</v>
      </c>
      <c r="E36" s="317" t="s">
        <v>19</v>
      </c>
    </row>
    <row r="37" spans="2:5" ht="16">
      <c r="B37" s="727" t="s">
        <v>93</v>
      </c>
      <c r="C37" s="728">
        <v>0</v>
      </c>
      <c r="D37" s="729">
        <v>1</v>
      </c>
      <c r="E37" s="317" t="s">
        <v>19</v>
      </c>
    </row>
    <row r="38" spans="2:5" ht="16">
      <c r="B38" s="727" t="s">
        <v>93</v>
      </c>
      <c r="C38" s="728">
        <v>0</v>
      </c>
      <c r="D38" s="729">
        <v>1</v>
      </c>
      <c r="E38" s="317" t="s">
        <v>19</v>
      </c>
    </row>
    <row r="39" spans="2:5" ht="16">
      <c r="B39" s="727" t="s">
        <v>93</v>
      </c>
      <c r="C39" s="728">
        <v>0</v>
      </c>
      <c r="D39" s="729">
        <v>1</v>
      </c>
      <c r="E39" s="317" t="s">
        <v>19</v>
      </c>
    </row>
    <row r="40" spans="2:5" ht="16">
      <c r="B40" s="727" t="s">
        <v>93</v>
      </c>
      <c r="C40" s="728">
        <v>0</v>
      </c>
      <c r="D40" s="729">
        <v>1</v>
      </c>
      <c r="E40" s="730" t="s">
        <v>19</v>
      </c>
    </row>
    <row r="41" spans="2:5" ht="16">
      <c r="B41" s="142" t="s">
        <v>93</v>
      </c>
      <c r="C41" s="143">
        <v>0</v>
      </c>
      <c r="D41" s="729">
        <v>1</v>
      </c>
      <c r="E41" s="317" t="s">
        <v>19</v>
      </c>
    </row>
    <row r="42" spans="2:5" ht="16">
      <c r="B42" s="142" t="s">
        <v>93</v>
      </c>
      <c r="C42" s="143">
        <v>0</v>
      </c>
      <c r="D42" s="729">
        <v>1</v>
      </c>
      <c r="E42" s="317" t="s">
        <v>19</v>
      </c>
    </row>
    <row r="43" spans="2:5" ht="16">
      <c r="B43" s="142" t="s">
        <v>93</v>
      </c>
      <c r="C43" s="143">
        <v>0</v>
      </c>
      <c r="D43" s="141">
        <v>1</v>
      </c>
      <c r="E43" s="317" t="s">
        <v>19</v>
      </c>
    </row>
    <row r="44" spans="2:5" ht="16">
      <c r="B44" s="142" t="s">
        <v>93</v>
      </c>
      <c r="C44" s="143">
        <v>0</v>
      </c>
      <c r="D44" s="141">
        <v>1</v>
      </c>
      <c r="E44" s="317" t="s">
        <v>19</v>
      </c>
    </row>
    <row r="45" spans="2:5" ht="16">
      <c r="B45" s="142" t="s">
        <v>93</v>
      </c>
      <c r="C45" s="143">
        <v>0</v>
      </c>
      <c r="D45" s="141">
        <v>1</v>
      </c>
      <c r="E45" s="317" t="s">
        <v>19</v>
      </c>
    </row>
    <row r="46" spans="2:5" ht="16">
      <c r="B46" s="142" t="s">
        <v>93</v>
      </c>
      <c r="C46" s="143">
        <v>0</v>
      </c>
      <c r="D46" s="141">
        <v>1</v>
      </c>
      <c r="E46" s="317" t="s">
        <v>19</v>
      </c>
    </row>
    <row r="47" spans="2:5" ht="16">
      <c r="B47" s="142" t="s">
        <v>93</v>
      </c>
      <c r="C47" s="143">
        <v>0</v>
      </c>
      <c r="D47" s="141">
        <v>1</v>
      </c>
      <c r="E47" s="317" t="s">
        <v>19</v>
      </c>
    </row>
    <row r="48" spans="2:5" ht="16">
      <c r="B48" s="142" t="s">
        <v>93</v>
      </c>
      <c r="C48" s="143">
        <v>0</v>
      </c>
      <c r="D48" s="141">
        <v>1</v>
      </c>
      <c r="E48" s="317" t="s">
        <v>19</v>
      </c>
    </row>
    <row r="49" spans="2:5" ht="16">
      <c r="B49" s="142" t="s">
        <v>93</v>
      </c>
      <c r="C49" s="143">
        <v>0</v>
      </c>
      <c r="D49" s="141">
        <v>1</v>
      </c>
      <c r="E49" s="317" t="s">
        <v>19</v>
      </c>
    </row>
    <row r="50" spans="2:5" ht="17" thickBot="1">
      <c r="B50" s="144" t="s">
        <v>93</v>
      </c>
      <c r="C50" s="145">
        <v>0</v>
      </c>
      <c r="D50" s="146">
        <v>1</v>
      </c>
      <c r="E50" s="317" t="s">
        <v>19</v>
      </c>
    </row>
    <row r="51" spans="2:5" ht="30" customHeight="1" thickTop="1">
      <c r="B51" s="105" t="s">
        <v>166</v>
      </c>
      <c r="C51" s="106">
        <f>SUM(C31:C50)</f>
        <v>0</v>
      </c>
      <c r="D51" s="77" t="e">
        <f>SUMPRODUCT(C31:C50,D31:D50)/C51</f>
        <v>#DIV/0!</v>
      </c>
      <c r="E51" s="73"/>
    </row>
    <row r="53" spans="2:5" ht="30" customHeight="1">
      <c r="B53" s="74" t="s">
        <v>94</v>
      </c>
    </row>
    <row r="54" spans="2:5" ht="16" thickBot="1"/>
    <row r="55" spans="2:5" ht="35" thickBot="1">
      <c r="B55" s="67" t="str">
        <f>Inputs!E26</f>
        <v>Interconnection</v>
      </c>
      <c r="C55" s="108" t="s">
        <v>0</v>
      </c>
      <c r="D55" s="109" t="s">
        <v>92</v>
      </c>
      <c r="E55" s="99" t="s">
        <v>160</v>
      </c>
    </row>
    <row r="56" spans="2:5" ht="16">
      <c r="B56" s="731" t="s">
        <v>93</v>
      </c>
      <c r="C56" s="732">
        <v>0</v>
      </c>
      <c r="D56" s="141">
        <v>0.5</v>
      </c>
      <c r="E56" s="317" t="s">
        <v>22</v>
      </c>
    </row>
    <row r="57" spans="2:5" ht="16">
      <c r="B57" s="731" t="s">
        <v>93</v>
      </c>
      <c r="C57" s="732">
        <v>0</v>
      </c>
      <c r="D57" s="141">
        <v>0.5</v>
      </c>
      <c r="E57" s="317" t="s">
        <v>22</v>
      </c>
    </row>
    <row r="58" spans="2:5" ht="16">
      <c r="B58" s="731" t="s">
        <v>93</v>
      </c>
      <c r="C58" s="732">
        <v>0</v>
      </c>
      <c r="D58" s="141">
        <v>0.5</v>
      </c>
      <c r="E58" s="317" t="s">
        <v>22</v>
      </c>
    </row>
    <row r="59" spans="2:5" ht="16">
      <c r="B59" s="731" t="s">
        <v>93</v>
      </c>
      <c r="C59" s="732">
        <v>0</v>
      </c>
      <c r="D59" s="141">
        <v>0.5</v>
      </c>
      <c r="E59" s="317" t="s">
        <v>22</v>
      </c>
    </row>
    <row r="60" spans="2:5" ht="16">
      <c r="B60" s="318" t="s">
        <v>93</v>
      </c>
      <c r="C60" s="319">
        <v>0</v>
      </c>
      <c r="D60" s="141">
        <v>0.5</v>
      </c>
      <c r="E60" s="317" t="s">
        <v>22</v>
      </c>
    </row>
    <row r="61" spans="2:5" ht="16">
      <c r="B61" s="318" t="s">
        <v>93</v>
      </c>
      <c r="C61" s="319">
        <v>0</v>
      </c>
      <c r="D61" s="141">
        <v>0.5</v>
      </c>
      <c r="E61" s="317" t="s">
        <v>22</v>
      </c>
    </row>
    <row r="62" spans="2:5" ht="16">
      <c r="B62" s="318" t="s">
        <v>93</v>
      </c>
      <c r="C62" s="319">
        <v>0</v>
      </c>
      <c r="D62" s="141">
        <v>0.5</v>
      </c>
      <c r="E62" s="317" t="s">
        <v>22</v>
      </c>
    </row>
    <row r="63" spans="2:5" ht="16">
      <c r="B63" s="318" t="s">
        <v>93</v>
      </c>
      <c r="C63" s="319">
        <v>0</v>
      </c>
      <c r="D63" s="141">
        <v>0.5</v>
      </c>
      <c r="E63" s="317" t="s">
        <v>22</v>
      </c>
    </row>
    <row r="64" spans="2:5" ht="16">
      <c r="B64" s="318" t="s">
        <v>93</v>
      </c>
      <c r="C64" s="319">
        <v>0</v>
      </c>
      <c r="D64" s="141">
        <v>0.5</v>
      </c>
      <c r="E64" s="317" t="s">
        <v>22</v>
      </c>
    </row>
    <row r="65" spans="2:5" ht="16">
      <c r="B65" s="318" t="s">
        <v>93</v>
      </c>
      <c r="C65" s="319">
        <v>0</v>
      </c>
      <c r="D65" s="141">
        <v>0.5</v>
      </c>
      <c r="E65" s="317" t="s">
        <v>22</v>
      </c>
    </row>
    <row r="66" spans="2:5" ht="16">
      <c r="B66" s="318" t="s">
        <v>93</v>
      </c>
      <c r="C66" s="319">
        <v>0</v>
      </c>
      <c r="D66" s="141">
        <v>0.5</v>
      </c>
      <c r="E66" s="317" t="s">
        <v>22</v>
      </c>
    </row>
    <row r="67" spans="2:5" ht="16">
      <c r="B67" s="318" t="s">
        <v>93</v>
      </c>
      <c r="C67" s="319">
        <v>0</v>
      </c>
      <c r="D67" s="141">
        <v>0.5</v>
      </c>
      <c r="E67" s="317" t="s">
        <v>22</v>
      </c>
    </row>
    <row r="68" spans="2:5" ht="16">
      <c r="B68" s="318" t="s">
        <v>93</v>
      </c>
      <c r="C68" s="319">
        <v>0</v>
      </c>
      <c r="D68" s="141">
        <v>0.5</v>
      </c>
      <c r="E68" s="317" t="s">
        <v>22</v>
      </c>
    </row>
    <row r="69" spans="2:5" ht="16">
      <c r="B69" s="318" t="s">
        <v>93</v>
      </c>
      <c r="C69" s="319">
        <v>0</v>
      </c>
      <c r="D69" s="141">
        <v>0.5</v>
      </c>
      <c r="E69" s="317" t="s">
        <v>22</v>
      </c>
    </row>
    <row r="70" spans="2:5" ht="16">
      <c r="B70" s="318" t="s">
        <v>93</v>
      </c>
      <c r="C70" s="319">
        <v>0</v>
      </c>
      <c r="D70" s="141">
        <v>0.5</v>
      </c>
      <c r="E70" s="317" t="s">
        <v>22</v>
      </c>
    </row>
    <row r="71" spans="2:5" ht="16">
      <c r="B71" s="318" t="s">
        <v>93</v>
      </c>
      <c r="C71" s="319">
        <v>0</v>
      </c>
      <c r="D71" s="141">
        <v>0.5</v>
      </c>
      <c r="E71" s="317" t="s">
        <v>22</v>
      </c>
    </row>
    <row r="72" spans="2:5" ht="16">
      <c r="B72" s="318" t="s">
        <v>93</v>
      </c>
      <c r="C72" s="319">
        <v>0</v>
      </c>
      <c r="D72" s="141">
        <v>0.5</v>
      </c>
      <c r="E72" s="317" t="s">
        <v>22</v>
      </c>
    </row>
    <row r="73" spans="2:5" ht="16">
      <c r="B73" s="318" t="s">
        <v>93</v>
      </c>
      <c r="C73" s="319">
        <v>0</v>
      </c>
      <c r="D73" s="141">
        <v>0.5</v>
      </c>
      <c r="E73" s="317" t="s">
        <v>22</v>
      </c>
    </row>
    <row r="74" spans="2:5" ht="16">
      <c r="B74" s="318" t="s">
        <v>93</v>
      </c>
      <c r="C74" s="319">
        <v>0</v>
      </c>
      <c r="D74" s="141">
        <v>0.5</v>
      </c>
      <c r="E74" s="317" t="s">
        <v>22</v>
      </c>
    </row>
    <row r="75" spans="2:5" ht="17" thickBot="1">
      <c r="B75" s="144" t="s">
        <v>93</v>
      </c>
      <c r="C75" s="145">
        <v>0</v>
      </c>
      <c r="D75" s="146">
        <v>0.5</v>
      </c>
      <c r="E75" s="317" t="s">
        <v>22</v>
      </c>
    </row>
    <row r="76" spans="2:5" ht="30" customHeight="1" thickTop="1">
      <c r="B76" s="105" t="s">
        <v>167</v>
      </c>
      <c r="C76" s="106">
        <f>SUM(C56:C75)</f>
        <v>0</v>
      </c>
      <c r="D76" s="77" t="e">
        <f>SUMPRODUCT(C56:C75,D56:D75)/C76</f>
        <v>#DIV/0!</v>
      </c>
      <c r="E76" s="75"/>
    </row>
    <row r="77" spans="2:5" ht="15.75" customHeight="1"/>
    <row r="78" spans="2:5" ht="30" customHeight="1">
      <c r="B78" s="74" t="s">
        <v>94</v>
      </c>
    </row>
    <row r="79" spans="2:5" ht="15.75" customHeight="1" thickBot="1">
      <c r="B79" s="74"/>
    </row>
    <row r="80" spans="2:5" ht="35" thickBot="1">
      <c r="B80" s="67" t="str">
        <f>Inputs!E27</f>
        <v>Development Costs &amp; Fee</v>
      </c>
      <c r="C80" s="108" t="s">
        <v>0</v>
      </c>
      <c r="D80" s="109" t="s">
        <v>92</v>
      </c>
      <c r="E80" s="99" t="s">
        <v>160</v>
      </c>
    </row>
    <row r="81" spans="2:5" ht="16">
      <c r="B81" s="727" t="s">
        <v>93</v>
      </c>
      <c r="C81" s="728">
        <v>0</v>
      </c>
      <c r="D81" s="141">
        <v>1</v>
      </c>
      <c r="E81" s="317" t="s">
        <v>19</v>
      </c>
    </row>
    <row r="82" spans="2:5" ht="16">
      <c r="B82" s="727" t="s">
        <v>93</v>
      </c>
      <c r="C82" s="728">
        <v>0</v>
      </c>
      <c r="D82" s="141">
        <v>1</v>
      </c>
      <c r="E82" s="317" t="s">
        <v>19</v>
      </c>
    </row>
    <row r="83" spans="2:5" ht="16">
      <c r="B83" s="727" t="s">
        <v>93</v>
      </c>
      <c r="C83" s="728">
        <v>0</v>
      </c>
      <c r="D83" s="141">
        <v>1</v>
      </c>
      <c r="E83" s="317" t="s">
        <v>19</v>
      </c>
    </row>
    <row r="84" spans="2:5" ht="16">
      <c r="B84" s="727" t="s">
        <v>93</v>
      </c>
      <c r="C84" s="728">
        <v>0</v>
      </c>
      <c r="D84" s="141">
        <v>1</v>
      </c>
      <c r="E84" s="317" t="s">
        <v>19</v>
      </c>
    </row>
    <row r="85" spans="2:5" ht="16">
      <c r="B85" s="727" t="s">
        <v>93</v>
      </c>
      <c r="C85" s="728">
        <v>0</v>
      </c>
      <c r="D85" s="141">
        <v>1</v>
      </c>
      <c r="E85" s="317" t="s">
        <v>19</v>
      </c>
    </row>
    <row r="86" spans="2:5" ht="16">
      <c r="B86" s="727" t="s">
        <v>93</v>
      </c>
      <c r="C86" s="728">
        <v>0</v>
      </c>
      <c r="D86" s="141">
        <v>1</v>
      </c>
      <c r="E86" s="317" t="s">
        <v>19</v>
      </c>
    </row>
    <row r="87" spans="2:5" ht="16">
      <c r="B87" s="142" t="s">
        <v>93</v>
      </c>
      <c r="C87" s="143">
        <v>0</v>
      </c>
      <c r="D87" s="141">
        <v>1</v>
      </c>
      <c r="E87" s="317" t="s">
        <v>19</v>
      </c>
    </row>
    <row r="88" spans="2:5" ht="16">
      <c r="B88" s="142" t="s">
        <v>93</v>
      </c>
      <c r="C88" s="143">
        <v>0</v>
      </c>
      <c r="D88" s="141">
        <v>1</v>
      </c>
      <c r="E88" s="317" t="s">
        <v>19</v>
      </c>
    </row>
    <row r="89" spans="2:5" ht="16">
      <c r="B89" s="142" t="s">
        <v>93</v>
      </c>
      <c r="C89" s="143">
        <v>0</v>
      </c>
      <c r="D89" s="141">
        <v>1</v>
      </c>
      <c r="E89" s="317" t="s">
        <v>19</v>
      </c>
    </row>
    <row r="90" spans="2:5" ht="16">
      <c r="B90" s="142" t="s">
        <v>93</v>
      </c>
      <c r="C90" s="143">
        <v>0</v>
      </c>
      <c r="D90" s="141">
        <v>1</v>
      </c>
      <c r="E90" s="317" t="s">
        <v>19</v>
      </c>
    </row>
    <row r="91" spans="2:5" ht="16">
      <c r="B91" s="142" t="s">
        <v>93</v>
      </c>
      <c r="C91" s="143">
        <v>0</v>
      </c>
      <c r="D91" s="141">
        <v>1</v>
      </c>
      <c r="E91" s="317" t="s">
        <v>19</v>
      </c>
    </row>
    <row r="92" spans="2:5" ht="16">
      <c r="B92" s="142" t="s">
        <v>93</v>
      </c>
      <c r="C92" s="143">
        <v>0</v>
      </c>
      <c r="D92" s="141">
        <v>1</v>
      </c>
      <c r="E92" s="317" t="s">
        <v>19</v>
      </c>
    </row>
    <row r="93" spans="2:5" ht="16">
      <c r="B93" s="142" t="s">
        <v>93</v>
      </c>
      <c r="C93" s="143">
        <v>0</v>
      </c>
      <c r="D93" s="141">
        <v>1</v>
      </c>
      <c r="E93" s="317" t="s">
        <v>19</v>
      </c>
    </row>
    <row r="94" spans="2:5" ht="16">
      <c r="B94" s="142" t="s">
        <v>93</v>
      </c>
      <c r="C94" s="143">
        <v>0</v>
      </c>
      <c r="D94" s="141">
        <v>1</v>
      </c>
      <c r="E94" s="317" t="s">
        <v>19</v>
      </c>
    </row>
    <row r="95" spans="2:5" ht="16">
      <c r="B95" s="142" t="s">
        <v>93</v>
      </c>
      <c r="C95" s="143">
        <v>0</v>
      </c>
      <c r="D95" s="141">
        <v>1</v>
      </c>
      <c r="E95" s="317" t="s">
        <v>19</v>
      </c>
    </row>
    <row r="96" spans="2:5" ht="16">
      <c r="B96" s="142" t="s">
        <v>93</v>
      </c>
      <c r="C96" s="143">
        <v>0</v>
      </c>
      <c r="D96" s="141">
        <v>1</v>
      </c>
      <c r="E96" s="317" t="s">
        <v>19</v>
      </c>
    </row>
    <row r="97" spans="2:5" ht="16">
      <c r="B97" s="142" t="s">
        <v>93</v>
      </c>
      <c r="C97" s="143">
        <v>0</v>
      </c>
      <c r="D97" s="141">
        <v>1</v>
      </c>
      <c r="E97" s="317" t="s">
        <v>19</v>
      </c>
    </row>
    <row r="98" spans="2:5" ht="16">
      <c r="B98" s="142" t="s">
        <v>93</v>
      </c>
      <c r="C98" s="143">
        <v>0</v>
      </c>
      <c r="D98" s="141">
        <v>1</v>
      </c>
      <c r="E98" s="317" t="s">
        <v>19</v>
      </c>
    </row>
    <row r="99" spans="2:5" ht="16">
      <c r="B99" s="142" t="s">
        <v>93</v>
      </c>
      <c r="C99" s="143">
        <v>0</v>
      </c>
      <c r="D99" s="141">
        <v>1</v>
      </c>
      <c r="E99" s="317" t="s">
        <v>19</v>
      </c>
    </row>
    <row r="100" spans="2:5" ht="17" thickBot="1">
      <c r="B100" s="144" t="s">
        <v>93</v>
      </c>
      <c r="C100" s="145">
        <v>0</v>
      </c>
      <c r="D100" s="146">
        <v>1</v>
      </c>
      <c r="E100" s="317" t="s">
        <v>19</v>
      </c>
    </row>
    <row r="101" spans="2:5" ht="30" customHeight="1" thickTop="1">
      <c r="B101" s="105" t="s">
        <v>171</v>
      </c>
      <c r="C101" s="106">
        <f>SUM(C81:C100)</f>
        <v>0</v>
      </c>
      <c r="D101" s="77" t="e">
        <f>SUMPRODUCT(C81:C100,D81:D100)/C101</f>
        <v>#DIV/0!</v>
      </c>
      <c r="E101" s="75"/>
    </row>
    <row r="102" spans="2:5" ht="15.75" customHeight="1">
      <c r="B102" s="113"/>
      <c r="C102" s="114"/>
      <c r="D102" s="100"/>
      <c r="E102" s="127"/>
    </row>
    <row r="103" spans="2:5" ht="30" customHeight="1">
      <c r="B103" s="74" t="s">
        <v>94</v>
      </c>
      <c r="C103" s="114"/>
      <c r="D103" s="100"/>
      <c r="E103" s="127"/>
    </row>
    <row r="104" spans="2:5" ht="15.75" customHeight="1" thickBot="1">
      <c r="B104" s="113"/>
      <c r="C104" s="114"/>
      <c r="D104" s="100"/>
      <c r="E104" s="127"/>
    </row>
    <row r="105" spans="2:5" ht="30" customHeight="1" thickBot="1">
      <c r="B105" s="67" t="str">
        <f>Inputs!E28</f>
        <v>Reserves &amp; Financing Costs</v>
      </c>
      <c r="C105" s="108" t="s">
        <v>0</v>
      </c>
      <c r="D105" s="109" t="s">
        <v>92</v>
      </c>
      <c r="E105" s="99" t="s">
        <v>160</v>
      </c>
    </row>
    <row r="106" spans="2:5" ht="15.75" customHeight="1">
      <c r="B106" s="105" t="s">
        <v>169</v>
      </c>
      <c r="C106" s="106">
        <f>((C26+C51+C76+C101)*Inputs!$G$57*Inputs!$G$60)</f>
        <v>0</v>
      </c>
      <c r="D106" s="141">
        <v>0</v>
      </c>
      <c r="E106" s="317" t="s">
        <v>23</v>
      </c>
    </row>
    <row r="107" spans="2:5" ht="15.75" customHeight="1">
      <c r="B107" s="71" t="s">
        <v>36</v>
      </c>
      <c r="C107" s="129">
        <f>(C26+C51+C76+C101)*(Inputs!$G$53/12)*(Inputs!$G$52/2)</f>
        <v>0</v>
      </c>
      <c r="D107" s="141">
        <v>0</v>
      </c>
      <c r="E107" s="317" t="s">
        <v>22</v>
      </c>
    </row>
    <row r="108" spans="2:5" ht="15.75" customHeight="1">
      <c r="B108" s="8" t="s">
        <v>48</v>
      </c>
      <c r="C108" s="129">
        <f>Inputs!$G$70</f>
        <v>0</v>
      </c>
      <c r="D108" s="141">
        <v>0</v>
      </c>
      <c r="E108" s="317" t="s">
        <v>22</v>
      </c>
    </row>
    <row r="109" spans="2:5" ht="15.75" customHeight="1" thickBot="1">
      <c r="B109" s="130" t="s">
        <v>170</v>
      </c>
      <c r="C109" s="131">
        <f>Inputs!$Q$73+Inputs!$Q$76</f>
        <v>1478954.9482940962</v>
      </c>
      <c r="D109" s="146">
        <v>0</v>
      </c>
      <c r="E109" s="317" t="s">
        <v>23</v>
      </c>
    </row>
    <row r="110" spans="2:5" ht="30.75" customHeight="1" thickTop="1">
      <c r="B110" s="121" t="s">
        <v>134</v>
      </c>
      <c r="C110" s="106">
        <f>SUM(C106:C109)</f>
        <v>1478954.9482940962</v>
      </c>
      <c r="D110" s="77">
        <f>SUMPRODUCT(C106:C109,D106:D109)/C110</f>
        <v>0</v>
      </c>
      <c r="E110" s="98"/>
    </row>
    <row r="111" spans="2:5" ht="15.75" customHeight="1">
      <c r="B111" s="110"/>
      <c r="C111" s="128"/>
      <c r="D111" s="111"/>
      <c r="E111" s="112"/>
    </row>
    <row r="112" spans="2:5" ht="30" customHeight="1">
      <c r="B112" s="74" t="s">
        <v>94</v>
      </c>
      <c r="C112" s="128"/>
      <c r="D112" s="111"/>
      <c r="E112" s="112"/>
    </row>
    <row r="113" spans="2:14" ht="15.75" customHeight="1" thickBot="1">
      <c r="B113" s="110"/>
      <c r="C113" s="128"/>
      <c r="D113" s="111"/>
      <c r="E113" s="112"/>
    </row>
    <row r="114" spans="2:14" ht="17" thickBot="1">
      <c r="B114" s="67" t="s">
        <v>165</v>
      </c>
      <c r="C114" s="68"/>
      <c r="D114" s="68"/>
      <c r="E114" s="101" t="s">
        <v>91</v>
      </c>
      <c r="F114" s="102"/>
      <c r="G114" s="102"/>
      <c r="H114" s="102"/>
      <c r="I114" s="102"/>
      <c r="J114" s="102"/>
      <c r="K114" s="102"/>
      <c r="L114" s="102"/>
      <c r="M114" s="102"/>
      <c r="N114" s="103"/>
    </row>
    <row r="115" spans="2:14" ht="35" thickBot="1">
      <c r="B115" s="118" t="s">
        <v>26</v>
      </c>
      <c r="C115" s="108" t="s">
        <v>0</v>
      </c>
      <c r="D115" s="109" t="s">
        <v>168</v>
      </c>
      <c r="E115" s="109" t="s">
        <v>26</v>
      </c>
      <c r="F115" s="109" t="s">
        <v>19</v>
      </c>
      <c r="G115" s="109" t="s">
        <v>127</v>
      </c>
      <c r="H115" s="109" t="s">
        <v>20</v>
      </c>
      <c r="I115" s="109" t="s">
        <v>128</v>
      </c>
      <c r="J115" s="109" t="s">
        <v>129</v>
      </c>
      <c r="K115" s="109" t="s">
        <v>21</v>
      </c>
      <c r="L115" s="109" t="s">
        <v>22</v>
      </c>
      <c r="M115" s="109" t="s">
        <v>130</v>
      </c>
      <c r="N115" s="140" t="s">
        <v>23</v>
      </c>
    </row>
    <row r="116" spans="2:14" ht="15.75" customHeight="1">
      <c r="B116" s="121" t="s">
        <v>159</v>
      </c>
      <c r="C116" s="124">
        <f>C26</f>
        <v>0</v>
      </c>
      <c r="D116" s="138" t="e">
        <f>C26*D26</f>
        <v>#DIV/0!</v>
      </c>
      <c r="E116" s="139" t="s">
        <v>159</v>
      </c>
      <c r="F116" s="124">
        <f>SUMIF($E$5:$E$26,F$115,$C$5:$C$26)</f>
        <v>0</v>
      </c>
      <c r="G116" s="124">
        <f t="shared" ref="G116:N116" si="0">SUMIF($E$5:$E$26,G$115,$C$5:$C$26)</f>
        <v>0</v>
      </c>
      <c r="H116" s="124">
        <f t="shared" si="0"/>
        <v>0</v>
      </c>
      <c r="I116" s="124">
        <f t="shared" si="0"/>
        <v>0</v>
      </c>
      <c r="J116" s="124">
        <f t="shared" si="0"/>
        <v>0</v>
      </c>
      <c r="K116" s="124">
        <f t="shared" si="0"/>
        <v>0</v>
      </c>
      <c r="L116" s="124">
        <f t="shared" si="0"/>
        <v>0</v>
      </c>
      <c r="M116" s="124">
        <f t="shared" si="0"/>
        <v>0</v>
      </c>
      <c r="N116" s="124">
        <f t="shared" si="0"/>
        <v>0</v>
      </c>
    </row>
    <row r="117" spans="2:14" ht="15.75" customHeight="1">
      <c r="B117" s="72" t="s">
        <v>161</v>
      </c>
      <c r="C117" s="119">
        <f>C51</f>
        <v>0</v>
      </c>
      <c r="D117" s="126" t="e">
        <f>C51*D51</f>
        <v>#DIV/0!</v>
      </c>
      <c r="E117" s="136" t="s">
        <v>161</v>
      </c>
      <c r="F117" s="119">
        <f>SUMIF($E$30:$E$51,F$115,$C$30:$C$51)</f>
        <v>0</v>
      </c>
      <c r="G117" s="119">
        <f t="shared" ref="G117:N117" si="1">SUMIF($E$30:$E$51,G$115,$C$30:$C$51)</f>
        <v>0</v>
      </c>
      <c r="H117" s="119">
        <f t="shared" si="1"/>
        <v>0</v>
      </c>
      <c r="I117" s="119">
        <f t="shared" si="1"/>
        <v>0</v>
      </c>
      <c r="J117" s="119">
        <f t="shared" si="1"/>
        <v>0</v>
      </c>
      <c r="K117" s="119">
        <f t="shared" si="1"/>
        <v>0</v>
      </c>
      <c r="L117" s="119">
        <f t="shared" si="1"/>
        <v>0</v>
      </c>
      <c r="M117" s="119">
        <f t="shared" si="1"/>
        <v>0</v>
      </c>
      <c r="N117" s="119">
        <f t="shared" si="1"/>
        <v>0</v>
      </c>
    </row>
    <row r="118" spans="2:14" ht="15.75" customHeight="1">
      <c r="B118" s="72" t="s">
        <v>162</v>
      </c>
      <c r="C118" s="119">
        <f>C76</f>
        <v>0</v>
      </c>
      <c r="D118" s="126" t="e">
        <f>C76*D76</f>
        <v>#DIV/0!</v>
      </c>
      <c r="E118" s="136" t="s">
        <v>162</v>
      </c>
      <c r="F118" s="119">
        <f>SUMIF($E$55:$E$76,F$115,$C$55:$C$76)</f>
        <v>0</v>
      </c>
      <c r="G118" s="119">
        <f t="shared" ref="G118:N118" si="2">SUMIF($E$55:$E$76,G$115,$C$55:$C$76)</f>
        <v>0</v>
      </c>
      <c r="H118" s="119">
        <f t="shared" si="2"/>
        <v>0</v>
      </c>
      <c r="I118" s="119">
        <f t="shared" si="2"/>
        <v>0</v>
      </c>
      <c r="J118" s="119">
        <f t="shared" si="2"/>
        <v>0</v>
      </c>
      <c r="K118" s="119">
        <f t="shared" si="2"/>
        <v>0</v>
      </c>
      <c r="L118" s="119">
        <f t="shared" si="2"/>
        <v>0</v>
      </c>
      <c r="M118" s="119">
        <f t="shared" si="2"/>
        <v>0</v>
      </c>
      <c r="N118" s="119">
        <f t="shared" si="2"/>
        <v>0</v>
      </c>
    </row>
    <row r="119" spans="2:14" ht="15.75" customHeight="1">
      <c r="B119" s="72" t="s">
        <v>163</v>
      </c>
      <c r="C119" s="119">
        <f>C101</f>
        <v>0</v>
      </c>
      <c r="D119" s="126" t="e">
        <f>C101*D101</f>
        <v>#DIV/0!</v>
      </c>
      <c r="E119" s="136" t="s">
        <v>163</v>
      </c>
      <c r="F119" s="119">
        <f>SUMIF($E$80:$E$101,F$115,$C$80:$C$101)</f>
        <v>0</v>
      </c>
      <c r="G119" s="119">
        <f t="shared" ref="G119:N119" si="3">SUMIF($E$80:$E$101,G$115,$C$80:$C$101)</f>
        <v>0</v>
      </c>
      <c r="H119" s="119">
        <f t="shared" si="3"/>
        <v>0</v>
      </c>
      <c r="I119" s="119">
        <f t="shared" si="3"/>
        <v>0</v>
      </c>
      <c r="J119" s="119">
        <f t="shared" si="3"/>
        <v>0</v>
      </c>
      <c r="K119" s="119">
        <f t="shared" si="3"/>
        <v>0</v>
      </c>
      <c r="L119" s="119">
        <f t="shared" si="3"/>
        <v>0</v>
      </c>
      <c r="M119" s="119">
        <f t="shared" si="3"/>
        <v>0</v>
      </c>
      <c r="N119" s="119">
        <f t="shared" si="3"/>
        <v>0</v>
      </c>
    </row>
    <row r="120" spans="2:14" ht="15.75" customHeight="1" thickBot="1">
      <c r="B120" s="122" t="s">
        <v>95</v>
      </c>
      <c r="C120" s="123">
        <f>C110</f>
        <v>1478954.9482940962</v>
      </c>
      <c r="D120" s="132">
        <f>C110*D110</f>
        <v>0</v>
      </c>
      <c r="E120" s="137" t="s">
        <v>95</v>
      </c>
      <c r="F120" s="135">
        <f>SUMIF($E$105:$E$110,F$115,$C$105:$C$110)</f>
        <v>0</v>
      </c>
      <c r="G120" s="135">
        <f t="shared" ref="G120:N120" si="4">SUMIF($E$105:$E$110,G$115,$C$105:$C$110)</f>
        <v>0</v>
      </c>
      <c r="H120" s="135">
        <f t="shared" si="4"/>
        <v>0</v>
      </c>
      <c r="I120" s="135">
        <f t="shared" si="4"/>
        <v>0</v>
      </c>
      <c r="J120" s="135">
        <f t="shared" si="4"/>
        <v>0</v>
      </c>
      <c r="K120" s="135">
        <f t="shared" si="4"/>
        <v>0</v>
      </c>
      <c r="L120" s="135">
        <f t="shared" si="4"/>
        <v>0</v>
      </c>
      <c r="M120" s="135">
        <f t="shared" si="4"/>
        <v>0</v>
      </c>
      <c r="N120" s="135">
        <f t="shared" si="4"/>
        <v>1478954.9482940962</v>
      </c>
    </row>
    <row r="121" spans="2:14" ht="30" customHeight="1" thickTop="1">
      <c r="B121" s="120" t="s">
        <v>134</v>
      </c>
      <c r="C121" s="125">
        <f>SUM(C116:C120)</f>
        <v>1478954.9482940962</v>
      </c>
      <c r="D121" s="125" t="e">
        <f>SUM(D116:D120)</f>
        <v>#DIV/0!</v>
      </c>
      <c r="E121" s="72"/>
      <c r="F121" s="125">
        <f>SUM(F116:F120)</f>
        <v>0</v>
      </c>
      <c r="G121" s="125">
        <f t="shared" ref="G121:N121" si="5">SUM(G116:G120)</f>
        <v>0</v>
      </c>
      <c r="H121" s="125">
        <f t="shared" si="5"/>
        <v>0</v>
      </c>
      <c r="I121" s="125">
        <f t="shared" si="5"/>
        <v>0</v>
      </c>
      <c r="J121" s="125">
        <f t="shared" si="5"/>
        <v>0</v>
      </c>
      <c r="K121" s="125">
        <f t="shared" si="5"/>
        <v>0</v>
      </c>
      <c r="L121" s="125">
        <f t="shared" si="5"/>
        <v>0</v>
      </c>
      <c r="M121" s="125">
        <f t="shared" si="5"/>
        <v>0</v>
      </c>
      <c r="N121" s="125">
        <f t="shared" si="5"/>
        <v>1478954.9482940962</v>
      </c>
    </row>
    <row r="122" spans="2:14">
      <c r="B122" s="14"/>
      <c r="C122" s="14"/>
      <c r="D122" s="14"/>
      <c r="E122" s="14"/>
    </row>
    <row r="123" spans="2:14" ht="16">
      <c r="B123" s="254" t="s">
        <v>189</v>
      </c>
      <c r="C123" s="255" t="str">
        <f>Inputs!G79</f>
        <v>Yes</v>
      </c>
    </row>
    <row r="124" spans="2:14" ht="16" thickBot="1">
      <c r="B124" s="329"/>
      <c r="C124" s="329"/>
      <c r="D124" s="329"/>
      <c r="E124" s="329"/>
      <c r="F124" s="329"/>
      <c r="G124" s="329"/>
      <c r="H124" s="329"/>
      <c r="I124" s="329"/>
      <c r="J124" s="329"/>
      <c r="K124" s="329"/>
      <c r="L124" s="329"/>
      <c r="M124" s="329"/>
      <c r="N124" s="329"/>
    </row>
    <row r="125" spans="2:14" ht="16" thickBot="1">
      <c r="D125" s="316"/>
      <c r="E125" s="316"/>
    </row>
    <row r="126" spans="2:14" ht="30" customHeight="1" thickBot="1">
      <c r="B126" s="820" t="s">
        <v>211</v>
      </c>
      <c r="C126" s="821"/>
      <c r="D126" s="821"/>
      <c r="E126" s="822"/>
    </row>
    <row r="127" spans="2:14" ht="16" thickBot="1"/>
    <row r="128" spans="2:14" ht="69" thickBot="1">
      <c r="C128" s="326" t="s">
        <v>248</v>
      </c>
      <c r="D128" s="327" t="s">
        <v>251</v>
      </c>
    </row>
    <row r="129" spans="3:6" ht="16">
      <c r="C129" s="482">
        <f>'Cash Flow'!G2</f>
        <v>1</v>
      </c>
      <c r="D129" s="483">
        <v>5</v>
      </c>
      <c r="F129" s="382"/>
    </row>
    <row r="130" spans="3:6" ht="16">
      <c r="C130" s="484">
        <f>C129+1</f>
        <v>2</v>
      </c>
      <c r="D130" s="485">
        <v>5.0999999999999996</v>
      </c>
      <c r="F130" s="382"/>
    </row>
    <row r="131" spans="3:6" ht="16">
      <c r="C131" s="484">
        <f t="shared" ref="C131:C158" si="6">C130+1</f>
        <v>3</v>
      </c>
      <c r="D131" s="485">
        <v>5.202</v>
      </c>
      <c r="F131" s="382"/>
    </row>
    <row r="132" spans="3:6" ht="16">
      <c r="C132" s="484">
        <f t="shared" si="6"/>
        <v>4</v>
      </c>
      <c r="D132" s="485">
        <v>5.3060400000000003</v>
      </c>
      <c r="F132" s="382"/>
    </row>
    <row r="133" spans="3:6" ht="16">
      <c r="C133" s="484">
        <f t="shared" si="6"/>
        <v>5</v>
      </c>
      <c r="D133" s="485">
        <v>5.4121608000000005</v>
      </c>
      <c r="F133" s="382"/>
    </row>
    <row r="134" spans="3:6" ht="16">
      <c r="C134" s="484">
        <f t="shared" si="6"/>
        <v>6</v>
      </c>
      <c r="D134" s="485">
        <v>5.5204040160000005</v>
      </c>
      <c r="F134" s="382"/>
    </row>
    <row r="135" spans="3:6" ht="16">
      <c r="C135" s="484">
        <f t="shared" si="6"/>
        <v>7</v>
      </c>
      <c r="D135" s="485">
        <v>5.6308120963200006</v>
      </c>
      <c r="E135" s="25"/>
      <c r="F135" s="382"/>
    </row>
    <row r="136" spans="3:6" ht="16">
      <c r="C136" s="484">
        <f t="shared" si="6"/>
        <v>8</v>
      </c>
      <c r="D136" s="485">
        <v>5.7434283382464004</v>
      </c>
      <c r="E136" s="133"/>
      <c r="F136" s="382"/>
    </row>
    <row r="137" spans="3:6" ht="16">
      <c r="C137" s="484">
        <f t="shared" si="6"/>
        <v>9</v>
      </c>
      <c r="D137" s="485">
        <v>5.8582969050113283</v>
      </c>
      <c r="E137" s="134"/>
      <c r="F137" s="382"/>
    </row>
    <row r="138" spans="3:6" ht="16">
      <c r="C138" s="484">
        <f t="shared" si="6"/>
        <v>10</v>
      </c>
      <c r="D138" s="485">
        <v>5.9754628431115551</v>
      </c>
      <c r="E138" s="134"/>
      <c r="F138" s="382"/>
    </row>
    <row r="139" spans="3:6" ht="16">
      <c r="C139" s="484">
        <f t="shared" si="6"/>
        <v>11</v>
      </c>
      <c r="D139" s="485">
        <v>6.094972099973786</v>
      </c>
      <c r="E139" s="134"/>
      <c r="F139" s="382"/>
    </row>
    <row r="140" spans="3:6" ht="16">
      <c r="C140" s="484">
        <f t="shared" si="6"/>
        <v>12</v>
      </c>
      <c r="D140" s="485">
        <v>6.2168715419732621</v>
      </c>
      <c r="E140" s="134"/>
      <c r="F140" s="382"/>
    </row>
    <row r="141" spans="3:6" ht="16">
      <c r="C141" s="484">
        <f t="shared" si="6"/>
        <v>13</v>
      </c>
      <c r="D141" s="485">
        <v>6.3412089728127281</v>
      </c>
      <c r="E141" s="134"/>
      <c r="F141" s="382"/>
    </row>
    <row r="142" spans="3:6" ht="16">
      <c r="C142" s="484">
        <f t="shared" si="6"/>
        <v>14</v>
      </c>
      <c r="D142" s="485">
        <v>6.4680331522689825</v>
      </c>
      <c r="E142" s="134"/>
      <c r="F142" s="382"/>
    </row>
    <row r="143" spans="3:6" ht="16">
      <c r="C143" s="484">
        <f t="shared" si="6"/>
        <v>15</v>
      </c>
      <c r="D143" s="485">
        <v>6.5973938153143621</v>
      </c>
      <c r="E143" s="134"/>
      <c r="F143" s="382"/>
    </row>
    <row r="144" spans="3:6" ht="16">
      <c r="C144" s="484">
        <f t="shared" si="6"/>
        <v>16</v>
      </c>
      <c r="D144" s="485">
        <v>6.7293416916206494</v>
      </c>
      <c r="E144" s="134"/>
      <c r="F144" s="382"/>
    </row>
    <row r="145" spans="3:6" ht="16">
      <c r="C145" s="484">
        <f t="shared" si="6"/>
        <v>17</v>
      </c>
      <c r="D145" s="485">
        <v>6.8639285254530638</v>
      </c>
      <c r="E145" s="134"/>
      <c r="F145" s="382"/>
    </row>
    <row r="146" spans="3:6" ht="16">
      <c r="C146" s="484">
        <f t="shared" si="6"/>
        <v>18</v>
      </c>
      <c r="D146" s="485">
        <v>7.0012070959621253</v>
      </c>
      <c r="E146" s="25"/>
      <c r="F146" s="382"/>
    </row>
    <row r="147" spans="3:6" ht="16">
      <c r="C147" s="484">
        <f t="shared" si="6"/>
        <v>19</v>
      </c>
      <c r="D147" s="485">
        <v>7.1412312378813683</v>
      </c>
      <c r="E147" s="25"/>
      <c r="F147" s="382"/>
    </row>
    <row r="148" spans="3:6" ht="16">
      <c r="C148" s="484">
        <f t="shared" si="6"/>
        <v>20</v>
      </c>
      <c r="D148" s="485">
        <v>7.2840558626389953</v>
      </c>
      <c r="E148" s="25"/>
      <c r="F148" s="382"/>
    </row>
    <row r="149" spans="3:6" ht="16">
      <c r="C149" s="484">
        <f t="shared" si="6"/>
        <v>21</v>
      </c>
      <c r="D149" s="485">
        <v>7.4297369798917758</v>
      </c>
      <c r="F149" s="382"/>
    </row>
    <row r="150" spans="3:6" ht="16">
      <c r="C150" s="484">
        <f t="shared" si="6"/>
        <v>22</v>
      </c>
      <c r="D150" s="485">
        <v>7.5783317194896114</v>
      </c>
      <c r="F150" s="382"/>
    </row>
    <row r="151" spans="3:6" ht="16">
      <c r="C151" s="484">
        <f t="shared" si="6"/>
        <v>23</v>
      </c>
      <c r="D151" s="485">
        <v>7.7298983538794035</v>
      </c>
      <c r="F151" s="382"/>
    </row>
    <row r="152" spans="3:6" ht="16">
      <c r="C152" s="484">
        <f t="shared" si="6"/>
        <v>24</v>
      </c>
      <c r="D152" s="485">
        <v>7.8844963209569912</v>
      </c>
      <c r="F152" s="382"/>
    </row>
    <row r="153" spans="3:6" ht="16">
      <c r="C153" s="484">
        <f t="shared" si="6"/>
        <v>25</v>
      </c>
      <c r="D153" s="485">
        <v>8.0421862473761312</v>
      </c>
      <c r="F153" s="382"/>
    </row>
    <row r="154" spans="3:6" ht="16">
      <c r="C154" s="484">
        <f t="shared" si="6"/>
        <v>26</v>
      </c>
      <c r="D154" s="485">
        <v>8.2030299723236535</v>
      </c>
      <c r="F154" s="382"/>
    </row>
    <row r="155" spans="3:6" ht="16">
      <c r="C155" s="484">
        <f t="shared" si="6"/>
        <v>27</v>
      </c>
      <c r="D155" s="485">
        <v>8.3670905717701274</v>
      </c>
      <c r="F155" s="382"/>
    </row>
    <row r="156" spans="3:6" ht="16">
      <c r="C156" s="484">
        <f t="shared" si="6"/>
        <v>28</v>
      </c>
      <c r="D156" s="485">
        <v>8.5344323832055302</v>
      </c>
      <c r="F156" s="382"/>
    </row>
    <row r="157" spans="3:6" ht="16">
      <c r="C157" s="484">
        <f t="shared" si="6"/>
        <v>29</v>
      </c>
      <c r="D157" s="485">
        <v>8.7051210308696394</v>
      </c>
      <c r="F157" s="382"/>
    </row>
    <row r="158" spans="3:6" ht="16">
      <c r="C158" s="484">
        <f t="shared" si="6"/>
        <v>30</v>
      </c>
      <c r="D158" s="485">
        <v>8.8792234514870323</v>
      </c>
      <c r="F158" s="382"/>
    </row>
    <row r="159" spans="3:6" ht="30" customHeight="1">
      <c r="C159" s="823" t="s">
        <v>213</v>
      </c>
      <c r="D159" s="824"/>
    </row>
  </sheetData>
  <protectedRanges>
    <protectedRange sqref="D129:D158" name="Market Value"/>
    <protectedRange sqref="B6:E25 B31:E50 B56:E75 B81:E100 D106:E109" name="Complex Inputs"/>
  </protectedRanges>
  <mergeCells count="2">
    <mergeCell ref="B126:E126"/>
    <mergeCell ref="C159:D159"/>
  </mergeCells>
  <conditionalFormatting sqref="D106:E110 D6:E26 D56:E76 D116:N121 D81:E101 D31:E51">
    <cfRule type="expression" dxfId="2" priority="1">
      <formula>$C$123="No"</formula>
    </cfRule>
  </conditionalFormatting>
  <conditionalFormatting sqref="B108">
    <cfRule type="expression" dxfId="1" priority="5">
      <formula>#REF!="100% Equity"</formula>
    </cfRule>
  </conditionalFormatting>
  <conditionalFormatting sqref="B108">
    <cfRule type="expression" dxfId="0" priority="6">
      <formula>#REF!="(use dropdown)"</formula>
    </cfRule>
  </conditionalFormatting>
  <dataValidations count="1">
    <dataValidation type="list" allowBlank="1" showInputMessage="1" showErrorMessage="1" sqref="E6:E25 E31:E50 E106:E109 E56:E75 E81:E100" xr:uid="{00000000-0002-0000-0500-000000000000}">
      <formula1>$F$115:$N$115</formula1>
    </dataValidation>
  </dataValidations>
  <hyperlinks>
    <hyperlink ref="B53" location="Inputs!A1" display="Click Here to Return to Inputs Worksheet" xr:uid="{00000000-0004-0000-0500-000000000000}"/>
    <hyperlink ref="B78" location="Inputs!A1" display="Click Here to Return to Inputs Worksheet" xr:uid="{00000000-0004-0000-0500-000001000000}"/>
    <hyperlink ref="B28" location="Inputs!A1" display="Click Here to Return to Inputs Worksheet" xr:uid="{00000000-0004-0000-0500-000002000000}"/>
    <hyperlink ref="B103" location="Inputs!A1" display="Click Here to Return to Inputs Worksheet" xr:uid="{00000000-0004-0000-0500-000003000000}"/>
    <hyperlink ref="B112" location="Inputs!A1" display="Click Here to Return to Inputs Worksheet" xr:uid="{00000000-0004-0000-0500-000004000000}"/>
  </hyperlink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Inputs</vt:lpstr>
      <vt:lpstr>Summary Results</vt:lpstr>
      <vt:lpstr>Annual Cash Flows &amp; Returns</vt:lpstr>
      <vt:lpstr>Cash Flow</vt:lpstr>
      <vt:lpstr>Complex Inputs</vt:lpstr>
      <vt:lpstr>Inputs!_ftnref1</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CREST Model for Fuel Cells</dc:title>
  <dc:subject>A model to assess project economics, design cost-based incentives, and evaluate the impact of state and federal support structures on renewable energy</dc:subject>
  <dc:creator/>
  <cp:keywords/>
  <dc:description/>
  <cp:lastModifiedBy>Harrison Dreves</cp:lastModifiedBy>
  <cp:lastPrinted>2010-07-30T20:36:23Z</cp:lastPrinted>
  <dcterms:created xsi:type="dcterms:W3CDTF">2010-03-29T19:24:38Z</dcterms:created>
  <dcterms:modified xsi:type="dcterms:W3CDTF">2019-01-21T19:29:52Z</dcterms:modified>
  <cp:category/>
</cp:coreProperties>
</file>